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885" windowHeight="11430" firstSheet="1" activeTab="2"/>
  </bookViews>
  <sheets>
    <sheet name="OCTO" sheetId="1" state="hidden" r:id="rId1"/>
    <sheet name="CRONOGRAMA" sheetId="6" r:id="rId2"/>
    <sheet name="ASFALTOCBUQ" sheetId="5" r:id="rId3"/>
    <sheet name="BDI" sheetId="7" r:id="rId4"/>
  </sheets>
  <definedNames>
    <definedName name="_xlnm.Print_Area" localSheetId="2">ASFALTOCBUQ!$A$1:$J$43</definedName>
    <definedName name="_xlnm.Print_Area" localSheetId="0">OCTO!$A$1:$I$63</definedName>
  </definedNames>
  <calcPr calcId="124519"/>
</workbook>
</file>

<file path=xl/calcChain.xml><?xml version="1.0" encoding="utf-8"?>
<calcChain xmlns="http://schemas.openxmlformats.org/spreadsheetml/2006/main">
  <c r="J22" i="5"/>
  <c r="J16"/>
  <c r="J11"/>
  <c r="J14" i="6"/>
  <c r="H30" i="5"/>
  <c r="I30" s="1"/>
  <c r="H29"/>
  <c r="I29" s="1"/>
  <c r="H28"/>
  <c r="I28" s="1"/>
  <c r="L27"/>
  <c r="H27"/>
  <c r="H26"/>
  <c r="H25"/>
  <c r="I25" s="1"/>
  <c r="H24"/>
  <c r="I24" s="1"/>
  <c r="H23"/>
  <c r="I23" s="1"/>
  <c r="AI18" i="7"/>
  <c r="A11"/>
  <c r="C12" i="6"/>
  <c r="H18" i="5"/>
  <c r="F18"/>
  <c r="J15" l="1"/>
  <c r="I36" s="1"/>
  <c r="I18"/>
  <c r="I27"/>
  <c r="I26"/>
  <c r="F34"/>
  <c r="F20"/>
  <c r="F21" s="1"/>
  <c r="F17"/>
  <c r="F13" s="1"/>
  <c r="H13"/>
  <c r="H34"/>
  <c r="H33"/>
  <c r="I33" s="1"/>
  <c r="F13" i="6" l="1"/>
  <c r="H13"/>
  <c r="I34" i="5"/>
  <c r="J32" s="1"/>
  <c r="I13"/>
  <c r="L21"/>
  <c r="H21"/>
  <c r="H20"/>
  <c r="H19"/>
  <c r="I19" s="1"/>
  <c r="H17"/>
  <c r="I17" s="1"/>
  <c r="J15" i="6" l="1"/>
  <c r="K14"/>
  <c r="I21" i="5"/>
  <c r="I20"/>
  <c r="H12" l="1"/>
  <c r="F12"/>
  <c r="H15" i="6" l="1"/>
  <c r="I12" i="5"/>
  <c r="D12" i="6" l="1"/>
  <c r="K12" s="1"/>
  <c r="F15"/>
  <c r="K13"/>
  <c r="F33" i="1"/>
  <c r="H29"/>
  <c r="I29" s="1"/>
  <c r="H28"/>
  <c r="I28" s="1"/>
  <c r="I27" s="1"/>
  <c r="F25"/>
  <c r="H25" s="1"/>
  <c r="I25" s="1"/>
  <c r="F19"/>
  <c r="H19" s="1"/>
  <c r="I19" s="1"/>
  <c r="F21"/>
  <c r="H21" s="1"/>
  <c r="I21" s="1"/>
  <c r="F18"/>
  <c r="H18" s="1"/>
  <c r="I18" s="1"/>
  <c r="F20"/>
  <c r="H20" s="1"/>
  <c r="I20" s="1"/>
  <c r="F24"/>
  <c r="H24" s="1"/>
  <c r="I24" s="1"/>
  <c r="F15"/>
  <c r="H15" s="1"/>
  <c r="I15" s="1"/>
  <c r="I14" s="1"/>
  <c r="F12"/>
  <c r="K16" i="6" l="1"/>
  <c r="G15" s="1"/>
  <c r="D15"/>
  <c r="I17" i="1"/>
  <c r="I23"/>
  <c r="H17"/>
  <c r="H27"/>
  <c r="H14"/>
  <c r="H23"/>
  <c r="H12"/>
  <c r="I15" i="6" l="1"/>
  <c r="C15"/>
  <c r="C16" s="1"/>
  <c r="E15"/>
  <c r="D16"/>
  <c r="I12" i="1"/>
  <c r="I11" s="1"/>
  <c r="H11"/>
  <c r="H39"/>
  <c r="I39" s="1"/>
  <c r="H38"/>
  <c r="I38" s="1"/>
  <c r="H37"/>
  <c r="I37" s="1"/>
  <c r="H36"/>
  <c r="I36" s="1"/>
  <c r="H35"/>
  <c r="I35" s="1"/>
  <c r="H34"/>
  <c r="H33"/>
  <c r="I33" s="1"/>
  <c r="H32"/>
  <c r="E16" i="6" l="1"/>
  <c r="G16" s="1"/>
  <c r="I16" s="1"/>
  <c r="H16"/>
  <c r="J16" s="1"/>
  <c r="F16"/>
  <c r="I41" i="1"/>
  <c r="H31"/>
  <c r="H41" s="1"/>
  <c r="I34"/>
  <c r="I32"/>
  <c r="I31" s="1"/>
</calcChain>
</file>

<file path=xl/sharedStrings.xml><?xml version="1.0" encoding="utf-8"?>
<sst xmlns="http://schemas.openxmlformats.org/spreadsheetml/2006/main" count="279" uniqueCount="172">
  <si>
    <t>ITEM</t>
  </si>
  <si>
    <t>CÓDIGO</t>
  </si>
  <si>
    <t>FONTE</t>
  </si>
  <si>
    <t>UNID.</t>
  </si>
  <si>
    <t xml:space="preserve">QUANT. </t>
  </si>
  <si>
    <t>R$ UNIT.</t>
  </si>
  <si>
    <t>VALOR R$</t>
  </si>
  <si>
    <t>C/BDI (R$)</t>
  </si>
  <si>
    <t>1.1</t>
  </si>
  <si>
    <t>SINAPI</t>
  </si>
  <si>
    <t>M3</t>
  </si>
  <si>
    <t>M</t>
  </si>
  <si>
    <t>74224/1</t>
  </si>
  <si>
    <t>TOTAL</t>
  </si>
  <si>
    <t>BDI=21,07%</t>
  </si>
  <si>
    <t>PLANILHA ORÇAMENTÁRIA:</t>
  </si>
  <si>
    <t>PREFEITURA MUNICIPAL DE RIBEIRÃO DO PINHAL</t>
  </si>
  <si>
    <t>Tel.: (43) 3551 - 8300 / (43) 3551 - 8303</t>
  </si>
  <si>
    <t>e-mail: pinhalengenharia@outlook.com</t>
  </si>
  <si>
    <t>Rua Paraná, 983 - Centro</t>
  </si>
  <si>
    <t xml:space="preserve">      _____________________________________________</t>
  </si>
  <si>
    <t>PAVIMENTAÇÃO DE REVESTIMENTO</t>
  </si>
  <si>
    <t>EXECUÇÃO DE PAVIMENTO EM PISO INTERTRAVADO, COM BLOCO SEXTAVADO DE 25 X 25 CM, ESPESSURA 8 CM. AF_12/2015</t>
  </si>
  <si>
    <t>M2</t>
  </si>
  <si>
    <t>PLANILHA ORÇAMENTÁRIA PAVIMENTAÇÃO EM LAJOTAS, MEIO-FIO E GALERIAS FALTANTES</t>
  </si>
  <si>
    <t>LOTEAMENTO SILVIO FRUCTUOSO DE MELO COELHO</t>
  </si>
  <si>
    <t>SERVIÇOS PRELIMINARES</t>
  </si>
  <si>
    <t>PLACA DE OBRA (PARA CONSTRUCAO CIVIL) EM CHAPA GALVANIZADA *N. 22*, ADESIVADA, DE *2,0 X 1,125* M (4X2M)</t>
  </si>
  <si>
    <t>TERRAPLENAGEM</t>
  </si>
  <si>
    <t>DER</t>
  </si>
  <si>
    <t>Esc. carga e transp. 2a. cat. 0-200m - REMOCAO DE REVESTIMETO PRIMÁRIO (30CM)</t>
  </si>
  <si>
    <t>DER-PR Out.2019 - SINAPI Out.2020</t>
  </si>
  <si>
    <t>BASE E SUB-BASE</t>
  </si>
  <si>
    <t>Regularização, conformação e compactação de leito</t>
  </si>
  <si>
    <t>ARGILA OU BARRO PARA ATERRO/REATERRO (COM TRANSPORTE ATE 10 KM)</t>
  </si>
  <si>
    <t>2.1</t>
  </si>
  <si>
    <t>3.1</t>
  </si>
  <si>
    <t>3.2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</si>
  <si>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E=8CM - BASE</t>
    </r>
  </si>
  <si>
    <t>Regularização compac.subleito 100% PN (A) - SUB-BASE</t>
  </si>
  <si>
    <t>3.3</t>
  </si>
  <si>
    <t>3.4</t>
  </si>
  <si>
    <t>4.1</t>
  </si>
  <si>
    <t>4.2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</si>
  <si>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E=1CM - PARA REJUNTE DAS LAJOTAS - VARREÇÃO NOS INTERSTÍCIOS</t>
    </r>
  </si>
  <si>
    <t>MEIO FIO E SARJETA</t>
  </si>
  <si>
    <r>
      <t>Meio fio de concreto tipo 7 (pré-moldado) -</t>
    </r>
    <r>
      <rPr>
        <sz val="8"/>
        <color rgb="FFFF0000"/>
        <rFont val="Calibri"/>
        <family val="2"/>
      </rPr>
      <t xml:space="preserve"> GUIA REBAIXADA</t>
    </r>
  </si>
  <si>
    <r>
      <t>Meio fio de concreto tipo 6 (pré-moldado) -</t>
    </r>
    <r>
      <rPr>
        <sz val="8"/>
        <color rgb="FFFF0000"/>
        <rFont val="Calibri"/>
        <family val="2"/>
      </rPr>
      <t xml:space="preserve"> h=22CM - SARJETA = 15 CM - L=10CM</t>
    </r>
  </si>
  <si>
    <t>5.1</t>
  </si>
  <si>
    <t>ESCAVAÇÃO MECANIZADA DE VALA COM PROF. MAIOR QUE 1,5 M ATÉ 3,0 M (MÉDIA ENTRE MONTANTE E JUSANTE/UMA COMPOSIÇÃO POR TRECHO), COM ESCAVADEIRA HIDRÁULICA (0,8 M3/111 HP), LARG. DE 1,5 M A 2,5 M, EM SOLO DE 1A CATEGORIA, LOCAIS COM BAIXO NÍVEL DE INTERFERÊNCIA. AF_01/2015</t>
  </si>
  <si>
    <t>GALERIAS DE ÁGUAS PLUVIAIS</t>
  </si>
  <si>
    <t>5.2</t>
  </si>
  <si>
    <t>6.1</t>
  </si>
  <si>
    <t>TUBO DE CONCRETO PARA REDES COLETORAS DE ÁGUAS PLUVIAIS, DIÂMETRO DE 400 MM, JUNTA RÍGIDA, INSTALADO EM LOCAL COM BAIXO NÍVEL DE INTERFERÊNCIAS - FORNECIMENTO E ASSENTAMENTO. AF_12/2015</t>
  </si>
  <si>
    <t>6.2</t>
  </si>
  <si>
    <t>REATERRO MECANIZADO DE VALA COM ESCAVADEIRA HIDRÁULICA (CAPACIDADE DA CAÇAMBA: 0,8 M³ / POTÊNCIA: 111 HP), LARGURA DE 1,5 A 2,5 M, PROFUNDIDADE DE 4,5 A 6,0 M, COM SOLO (SEM SUBSTITUIÇÃO) DE 1ª CATEGORIA EM LOCAIS COM BAIXO NÍVEL DE INTERFERÊNCIA. AF_04/2016</t>
  </si>
  <si>
    <t>6.3</t>
  </si>
  <si>
    <t>CAIXA DE LIGAÇÃO - ENTERRADA HIDRÁULICA RETANGULAR EM ALVENARIA COM TIJOLOS CERÂMICOS MACIÇOS, DIMENSÕES INTERNAS: 1X1X0,6 M PARA REDE DE DRENAGEM. AF_05/2018</t>
  </si>
  <si>
    <t>UN</t>
  </si>
  <si>
    <t>BOCA DE LOBO EM ALVENARIA TIJOLO MACICO, REVESTIDA C/ ARGAMASSA DE CIMENTO E AREIA 1:3, SOBRE LASTRO DE CONCRETO 10CM E TAMPA DE CONCRETO ARMADO</t>
  </si>
  <si>
    <t>6.4</t>
  </si>
  <si>
    <t>6.5</t>
  </si>
  <si>
    <t>POCO DE VISITA PARA DRENAGEM PLUVIAL, EM CONCRETO ESTRUTURAL, DIMENSOES INTERNAS DE 90X150X80CM (LARGXCOMPXALT), PARA REDE DE 600 MM, EXCLUSOS TAMPAO E CHAMINE.</t>
  </si>
  <si>
    <t>6.6</t>
  </si>
  <si>
    <t>6.7</t>
  </si>
  <si>
    <t>6.8</t>
  </si>
  <si>
    <t>CHAMINÉ CIRCULAR PARA POÇO DE VISITA PARA DRENAGEM, EM ALVENARIA COM TIJOLOS CERÂMICOS MACIÇOS, DIÂMETRO INTERNO = 0,6 M. AF_05/2018</t>
  </si>
  <si>
    <t>TAMPAO FOFO ARTICULADO, CLASSE B125 CARGA MAX 12,5 T, REDONDO TAMPA 600 MM, REDE PLUVIAL/ESGOTO</t>
  </si>
  <si>
    <t xml:space="preserve">                                                                                                                                      TOTAL GERAL:</t>
  </si>
  <si>
    <t>RIBEIRÃO DO PINHAL-PR, 09 DE FEVEREIRO DE 2021</t>
  </si>
  <si>
    <t>DESCRIÇÃO DOS SERVIÇOS</t>
  </si>
  <si>
    <t>SUBTOTAL</t>
  </si>
  <si>
    <t>BDI :</t>
  </si>
  <si>
    <t>PLANILHA ORÇAMENTÁRIA</t>
  </si>
  <si>
    <t>2.2</t>
  </si>
  <si>
    <t>PLACA DE OBRA (PARA CONSTRUCAO CIVIL) EM CHAPA GALVANIZADA *N. 22*, ADESIVADA (4X2M)</t>
  </si>
  <si>
    <t>PREÇO UNITÁRIO</t>
  </si>
  <si>
    <t>TOTAL ITEM</t>
  </si>
  <si>
    <t>SEM BDI</t>
  </si>
  <si>
    <t>COM BDI</t>
  </si>
  <si>
    <t>EXECUÇÃO DE PINTURA DE LIGAÇÃO COM EMULSÃO ASFÁLTICA RR-2C. AF_11/2019</t>
  </si>
  <si>
    <r>
      <t>EXECUÇÃO DE PAVIMENTO COM APLICAÇÃO DE CONCRETO ASFÁLTICO, CAMADA DE ROLAMENTO - EXCLUSIVE CARGA E TRANSPORTE. AF_11/2019 (</t>
    </r>
    <r>
      <rPr>
        <b/>
        <sz val="8"/>
        <rFont val="Calibri"/>
        <family val="2"/>
      </rPr>
      <t>ESPESSURA: 3,0 CM)</t>
    </r>
  </si>
  <si>
    <t>COMERCIAL - MASSA A QUANTE - CAMINHÃO BASCULANTE</t>
  </si>
  <si>
    <t>T.</t>
  </si>
  <si>
    <r>
      <t>0,55x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+ 0,66x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</si>
  <si>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t>MICRORREVESTIMENTO ASFÁLTICO</t>
  </si>
  <si>
    <t>Microrevest.asf.a frio e=16mm(sem fibras), excl.fornec.emulsão</t>
  </si>
  <si>
    <t>Fornecimento de emulsão asfáltica RC-1C-E com polímero</t>
  </si>
  <si>
    <t>T</t>
  </si>
  <si>
    <t>DMT: 40 KM</t>
  </si>
  <si>
    <t>1.2</t>
  </si>
  <si>
    <t>PLANILHA ORÇAMENTÁRIA PAVIMENTAÇÃO CBUQ E MICRORREVESTIMENTO ASFÁLTICO</t>
  </si>
  <si>
    <t>PAVIMENTAÇÃO COM C.B.U.Q.</t>
  </si>
  <si>
    <t>Imprimação impermeab. exclusive fornec. do CM</t>
  </si>
  <si>
    <t>Fornecimento de asfalto diluído CM-30</t>
  </si>
  <si>
    <t xml:space="preserve">                     CRONOGRAM FÍSICO FINANCEIRO - PAVIMENTAÇÃO C.B.U.Q., MICRORREVESTIMENTO E MEIO-FIO</t>
  </si>
  <si>
    <t>CRONOGRAMA FISICO FINANCEIRO</t>
  </si>
  <si>
    <t>30 DD</t>
  </si>
  <si>
    <t>60 DD</t>
  </si>
  <si>
    <t>90 DD</t>
  </si>
  <si>
    <t>120 DD</t>
  </si>
  <si>
    <t>%</t>
  </si>
  <si>
    <t>R$</t>
  </si>
  <si>
    <t>ACUMULADO</t>
  </si>
  <si>
    <t>LOTEAMENTO SÍLVIO FRUCTUOSO DE MELLO COELHO - VILA HERMÍNIA</t>
  </si>
  <si>
    <t>DEMONSTRATIVO DE CÁLCULO DO BDI</t>
  </si>
  <si>
    <t>Setor Público - REPASSE</t>
  </si>
  <si>
    <t>Proponente</t>
  </si>
  <si>
    <t>Empreendimento ( Nome/Apelido)</t>
  </si>
  <si>
    <t>Município</t>
  </si>
  <si>
    <t>UF</t>
  </si>
  <si>
    <t>Locais:</t>
  </si>
  <si>
    <t>Gestor (Ministério)</t>
  </si>
  <si>
    <t>Data-Base (mês de referência)</t>
  </si>
  <si>
    <t>Regime de execução das obras:</t>
  </si>
  <si>
    <t>Composição do BDI sugerida</t>
  </si>
  <si>
    <t>Intervalos admissíveis sem justificativa</t>
  </si>
  <si>
    <t>Composição de BDI Adotada</t>
  </si>
  <si>
    <t>BDI Proposto:</t>
  </si>
  <si>
    <t>Garantia (G)</t>
  </si>
  <si>
    <t xml:space="preserve">De </t>
  </si>
  <si>
    <t>até</t>
  </si>
  <si>
    <t xml:space="preserve">  Garantia:</t>
  </si>
  <si>
    <r>
      <t xml:space="preserve"> BDI =</t>
    </r>
    <r>
      <rPr>
        <u/>
        <sz val="10"/>
        <rFont val="Arial"/>
        <family val="2"/>
      </rPr>
      <t xml:space="preserve"> (1+AC)x(1+DF)x(1+(G+R))x(1+L)</t>
    </r>
    <r>
      <rPr>
        <sz val="10"/>
        <rFont val="Arial"/>
        <family val="2"/>
      </rPr>
      <t xml:space="preserve">)  -1
                                  1-T
  </t>
    </r>
    <r>
      <rPr>
        <u/>
        <sz val="10"/>
        <rFont val="Arial"/>
        <family val="2"/>
      </rPr>
      <t>Observação</t>
    </r>
    <r>
      <rPr>
        <sz val="10"/>
        <rFont val="Arial"/>
        <family val="2"/>
      </rPr>
      <t>:
  i)   Composição do BDI, intervalos admissíveis e Fórmula de cálculo nos termos do Acórdão 325/2007 do TCU.</t>
    </r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</si>
  <si>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</si>
  <si>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</si>
  <si>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</si>
  <si>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</si>
  <si>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</si>
  <si>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</si>
  <si>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</si>
  <si>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</si>
  <si>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Tributos (T)</t>
  </si>
  <si>
    <t xml:space="preserve">  Tributos:</t>
  </si>
  <si>
    <t>Estudos conforme acórdão 2622/2013 TCU</t>
  </si>
  <si>
    <t>Prefeitura Municipal de Ribeirão do Pinhal</t>
  </si>
  <si>
    <t>Ribeirão do Pinhal</t>
  </si>
  <si>
    <t>PR</t>
  </si>
  <si>
    <t>ENSAIOS TECNOLÓGICOS                                                                                                                                                                                                                                                                                                                                      (Os custos com mobilização e desmobilização de equipe e equipamentos para a extração de amostras para os ensaios tecnológicos, exceto da capa asfáltica, serão de responsabilidade da empresa executora da obra.)</t>
  </si>
  <si>
    <t>8.1</t>
  </si>
  <si>
    <t>74022/35</t>
  </si>
  <si>
    <t>74022/53</t>
  </si>
  <si>
    <t>74022/56</t>
  </si>
  <si>
    <r>
      <rPr>
        <b/>
        <sz val="9"/>
        <color theme="1"/>
        <rFont val="Calibri"/>
        <family val="2"/>
        <scheme val="minor"/>
      </rPr>
      <t xml:space="preserve">Data Base : </t>
    </r>
    <r>
      <rPr>
        <sz val="9"/>
        <color theme="1"/>
        <rFont val="Calibri"/>
        <family val="2"/>
        <scheme val="minor"/>
      </rPr>
      <t>DER-PR Janeiro 2021 - SINAPI Março 2021 - SEIL 2016 - DAER/RS Maio 2019 - SEM DESONERAÇÃO</t>
    </r>
  </si>
  <si>
    <t>Data Base : DER-PR Janeiro 2021 - SINAPI Março 2021 - SEIL 2016 - DAER/RS Maio 2019 - SEM DESONERAÇÃO</t>
  </si>
  <si>
    <t>DAER/RS</t>
  </si>
  <si>
    <t>SEIL</t>
  </si>
  <si>
    <t>Ensaio de Massa Específica - In Situ - Método Frasco de Areia (Grau de Compactação) - Terraplenagem</t>
  </si>
  <si>
    <t>Ensaio de Massa Específica - In Situ - Método Frasco de Areia (Grau de Compactação) - Reforço do Subleito</t>
  </si>
  <si>
    <t>Ensaio de Massa Específica - In Situ - Método Frasco de Areia (Grau de Compactação) - Regularização e Compactação do Subleito</t>
  </si>
  <si>
    <t>Ensaio de Granulometria do Agregado</t>
  </si>
  <si>
    <t>Ensaio de Percentagem de Betume - Misturas Betuminosa</t>
  </si>
  <si>
    <t>Ensaio de Controle do Grau de Compactação da Mistura Asfáltica</t>
  </si>
  <si>
    <t>Ensaio de Densidade do Material Betuminoso</t>
  </si>
  <si>
    <t>Extração de corpo de prova de concreto asfáltico com sonda rotativa</t>
  </si>
  <si>
    <t>UD</t>
  </si>
  <si>
    <t>RECOMPOSIÇÃO DE BASE E OU SUB-BASE PARA REMENDO PROFUNDO DE SOLO BRITA (40/60). AF_12/2020</t>
  </si>
  <si>
    <t xml:space="preserve">PAVIMENTAÇÃO 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</si>
  <si>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</si>
  <si>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</si>
  <si>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</si>
  <si>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</si>
  <si>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</si>
  <si>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</si>
  <si>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</si>
  <si>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</si>
  <si>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</si>
  <si>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</si>
  <si>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</si>
  <si>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</si>
  <si>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</si>
  <si>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RIBEIRÃO DO PINHAL-PR, 09 DE MARÇO DE 2021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</si>
</sst>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mmmm\-yyyy;@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Arial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8"/>
      <color rgb="FFFF0000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8"/>
      <name val="Calibri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Swis721 Md BT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10"/>
      <color indexed="9"/>
      <name val="Arial"/>
      <family val="2"/>
    </font>
    <font>
      <u/>
      <sz val="10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</borders>
  <cellStyleXfs count="7">
    <xf numFmtId="0" fontId="0" fillId="0" borderId="0"/>
    <xf numFmtId="0" fontId="10" fillId="0" borderId="0"/>
    <xf numFmtId="0" fontId="9" fillId="0" borderId="0"/>
    <xf numFmtId="0" fontId="9" fillId="0" borderId="0"/>
    <xf numFmtId="164" fontId="10" fillId="0" borderId="0" applyFont="0" applyFill="0" applyBorder="0" applyAlignment="0" applyProtection="0"/>
    <xf numFmtId="0" fontId="13" fillId="0" borderId="0"/>
    <xf numFmtId="9" fontId="9" fillId="0" borderId="0" applyFont="0" applyFill="0" applyBorder="0" applyAlignment="0" applyProtection="0"/>
  </cellStyleXfs>
  <cellXfs count="256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/>
    <xf numFmtId="0" fontId="3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right"/>
    </xf>
    <xf numFmtId="0" fontId="6" fillId="0" borderId="0" xfId="0" applyFont="1"/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7" xfId="0" applyFont="1" applyFill="1" applyBorder="1"/>
    <xf numFmtId="2" fontId="4" fillId="0" borderId="1" xfId="0" applyNumberFormat="1" applyFont="1" applyBorder="1"/>
    <xf numFmtId="0" fontId="5" fillId="2" borderId="7" xfId="0" applyFont="1" applyFill="1" applyBorder="1" applyAlignment="1">
      <alignment horizontal="right"/>
    </xf>
    <xf numFmtId="0" fontId="6" fillId="2" borderId="7" xfId="0" applyFont="1" applyFill="1" applyBorder="1"/>
    <xf numFmtId="0" fontId="6" fillId="2" borderId="3" xfId="0" applyFont="1" applyFill="1" applyBorder="1"/>
    <xf numFmtId="0" fontId="1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2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0" borderId="15" xfId="0" applyBorder="1"/>
    <xf numFmtId="0" fontId="0" fillId="0" borderId="10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3" xfId="0" applyBorder="1"/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8" xfId="0" applyBorder="1"/>
    <xf numFmtId="0" fontId="11" fillId="0" borderId="9" xfId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3" fontId="3" fillId="4" borderId="1" xfId="0" applyNumberFormat="1" applyFont="1" applyFill="1" applyBorder="1" applyAlignment="1">
      <alignment horizontal="center" vertical="center"/>
    </xf>
    <xf numFmtId="43" fontId="4" fillId="4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/>
    </xf>
    <xf numFmtId="44" fontId="4" fillId="4" borderId="18" xfId="0" applyNumberFormat="1" applyFont="1" applyFill="1" applyBorder="1" applyAlignment="1">
      <alignment horizontal="center" vertical="center"/>
    </xf>
    <xf numFmtId="44" fontId="3" fillId="0" borderId="18" xfId="0" applyNumberFormat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3" fontId="3" fillId="4" borderId="1" xfId="0" applyNumberFormat="1" applyFont="1" applyFill="1" applyBorder="1" applyAlignment="1">
      <alignment horizontal="center" vertical="center" wrapText="1"/>
    </xf>
    <xf numFmtId="43" fontId="4" fillId="4" borderId="1" xfId="0" applyNumberFormat="1" applyFont="1" applyFill="1" applyBorder="1" applyAlignment="1">
      <alignment horizontal="center" vertical="center" wrapText="1"/>
    </xf>
    <xf numFmtId="44" fontId="4" fillId="4" borderId="18" xfId="0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44" fontId="3" fillId="0" borderId="18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43" fontId="2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3" fillId="0" borderId="1" xfId="0" applyNumberFormat="1" applyFont="1" applyBorder="1" applyAlignment="1">
      <alignment vertical="center" wrapText="1"/>
    </xf>
    <xf numFmtId="44" fontId="3" fillId="0" borderId="18" xfId="0" applyNumberFormat="1" applyFont="1" applyBorder="1" applyAlignment="1">
      <alignment vertical="center" wrapText="1"/>
    </xf>
    <xf numFmtId="0" fontId="17" fillId="3" borderId="20" xfId="0" applyFont="1" applyFill="1" applyBorder="1" applyAlignment="1">
      <alignment vertical="center" wrapText="1"/>
    </xf>
    <xf numFmtId="165" fontId="0" fillId="0" borderId="0" xfId="0" applyNumberFormat="1" applyAlignment="1">
      <alignment vertical="center"/>
    </xf>
    <xf numFmtId="43" fontId="23" fillId="0" borderId="1" xfId="0" applyNumberFormat="1" applyFont="1" applyBorder="1" applyAlignment="1">
      <alignment horizontal="center" vertical="center" wrapText="1"/>
    </xf>
    <xf numFmtId="43" fontId="23" fillId="0" borderId="1" xfId="0" applyNumberFormat="1" applyFont="1" applyBorder="1" applyAlignment="1">
      <alignment horizontal="center" vertical="center"/>
    </xf>
    <xf numFmtId="43" fontId="22" fillId="4" borderId="1" xfId="0" applyNumberFormat="1" applyFont="1" applyFill="1" applyBorder="1" applyAlignment="1">
      <alignment horizontal="center" vertical="center"/>
    </xf>
    <xf numFmtId="43" fontId="22" fillId="0" borderId="1" xfId="0" applyNumberFormat="1" applyFont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4" fontId="3" fillId="0" borderId="1" xfId="0" applyNumberFormat="1" applyFont="1" applyBorder="1" applyAlignment="1">
      <alignment horizontal="center"/>
    </xf>
    <xf numFmtId="0" fontId="3" fillId="0" borderId="38" xfId="0" applyFont="1" applyBorder="1" applyAlignment="1">
      <alignment horizontal="right"/>
    </xf>
    <xf numFmtId="10" fontId="3" fillId="0" borderId="39" xfId="0" applyNumberFormat="1" applyFont="1" applyBorder="1"/>
    <xf numFmtId="4" fontId="3" fillId="0" borderId="39" xfId="0" applyNumberFormat="1" applyFont="1" applyBorder="1"/>
    <xf numFmtId="0" fontId="3" fillId="0" borderId="40" xfId="0" applyFont="1" applyBorder="1"/>
    <xf numFmtId="0" fontId="3" fillId="0" borderId="20" xfId="0" applyFont="1" applyBorder="1" applyAlignment="1">
      <alignment horizontal="right"/>
    </xf>
    <xf numFmtId="10" fontId="3" fillId="0" borderId="41" xfId="0" applyNumberFormat="1" applyFont="1" applyBorder="1"/>
    <xf numFmtId="4" fontId="3" fillId="0" borderId="41" xfId="0" applyNumberFormat="1" applyFont="1" applyBorder="1"/>
    <xf numFmtId="4" fontId="4" fillId="0" borderId="42" xfId="0" applyNumberFormat="1" applyFont="1" applyBorder="1"/>
    <xf numFmtId="0" fontId="3" fillId="0" borderId="18" xfId="0" applyFont="1" applyBorder="1"/>
    <xf numFmtId="4" fontId="3" fillId="0" borderId="18" xfId="0" applyNumberFormat="1" applyFont="1" applyBorder="1"/>
    <xf numFmtId="0" fontId="4" fillId="0" borderId="19" xfId="0" applyFont="1" applyBorder="1" applyAlignment="1">
      <alignment horizontal="center" wrapText="1"/>
    </xf>
    <xf numFmtId="0" fontId="0" fillId="0" borderId="0" xfId="0" applyBorder="1" applyAlignment="1"/>
    <xf numFmtId="0" fontId="0" fillId="0" borderId="16" xfId="0" applyBorder="1" applyAlignment="1"/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10" fontId="5" fillId="0" borderId="18" xfId="0" applyNumberFormat="1" applyFont="1" applyBorder="1" applyAlignment="1">
      <alignment horizontal="center" vertical="center"/>
    </xf>
    <xf numFmtId="0" fontId="0" fillId="5" borderId="43" xfId="0" applyFont="1" applyFill="1" applyBorder="1" applyAlignment="1" applyProtection="1">
      <alignment horizontal="left" vertical="center"/>
    </xf>
    <xf numFmtId="0" fontId="0" fillId="5" borderId="44" xfId="0" applyFont="1" applyFill="1" applyBorder="1" applyAlignment="1" applyProtection="1">
      <alignment horizontal="left" vertical="center"/>
    </xf>
    <xf numFmtId="0" fontId="0" fillId="5" borderId="44" xfId="0" applyFont="1" applyFill="1" applyBorder="1" applyAlignment="1" applyProtection="1">
      <alignment vertical="center"/>
    </xf>
    <xf numFmtId="0" fontId="0" fillId="5" borderId="45" xfId="0" applyFont="1" applyFill="1" applyBorder="1" applyAlignment="1" applyProtection="1">
      <alignment vertical="center"/>
    </xf>
    <xf numFmtId="0" fontId="0" fillId="5" borderId="46" xfId="0" applyFont="1" applyFill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24" fillId="5" borderId="0" xfId="0" applyFont="1" applyFill="1" applyBorder="1" applyAlignment="1" applyProtection="1">
      <alignment vertical="center"/>
    </xf>
    <xf numFmtId="0" fontId="25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horizontal="left" vertical="center"/>
    </xf>
    <xf numFmtId="0" fontId="0" fillId="5" borderId="47" xfId="0" applyFill="1" applyBorder="1" applyAlignment="1" applyProtection="1">
      <alignment vertical="center"/>
    </xf>
    <xf numFmtId="0" fontId="25" fillId="5" borderId="0" xfId="0" applyFont="1" applyFill="1" applyBorder="1" applyAlignment="1" applyProtection="1">
      <alignment vertical="center"/>
    </xf>
    <xf numFmtId="0" fontId="26" fillId="5" borderId="0" xfId="0" applyFont="1" applyFill="1" applyBorder="1" applyAlignment="1" applyProtection="1">
      <alignment vertical="center"/>
    </xf>
    <xf numFmtId="0" fontId="25" fillId="5" borderId="47" xfId="0" applyFont="1" applyFill="1" applyBorder="1" applyAlignment="1" applyProtection="1">
      <alignment vertical="center"/>
    </xf>
    <xf numFmtId="0" fontId="0" fillId="5" borderId="47" xfId="0" applyFont="1" applyFill="1" applyBorder="1" applyAlignment="1" applyProtection="1">
      <alignment vertical="center"/>
    </xf>
    <xf numFmtId="0" fontId="27" fillId="5" borderId="0" xfId="0" applyFont="1" applyFill="1" applyBorder="1" applyAlignment="1" applyProtection="1">
      <alignment horizontal="left" vertical="center"/>
    </xf>
    <xf numFmtId="0" fontId="25" fillId="5" borderId="46" xfId="0" applyFont="1" applyFill="1" applyBorder="1" applyAlignment="1" applyProtection="1">
      <alignment horizontal="left" vertical="center"/>
    </xf>
    <xf numFmtId="0" fontId="25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horizontal="center" vertical="center"/>
    </xf>
    <xf numFmtId="0" fontId="0" fillId="5" borderId="46" xfId="0" applyFont="1" applyFill="1" applyBorder="1" applyAlignment="1" applyProtection="1">
      <alignment horizontal="left" vertical="center"/>
    </xf>
    <xf numFmtId="0" fontId="0" fillId="5" borderId="48" xfId="0" applyFont="1" applyFill="1" applyBorder="1" applyAlignment="1" applyProtection="1">
      <alignment horizontal="left" vertical="center"/>
    </xf>
    <xf numFmtId="0" fontId="0" fillId="6" borderId="46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5" borderId="48" xfId="0" applyFont="1" applyFill="1" applyBorder="1" applyAlignment="1" applyProtection="1">
      <alignment vertical="center"/>
    </xf>
    <xf numFmtId="0" fontId="0" fillId="5" borderId="52" xfId="0" applyFont="1" applyFill="1" applyBorder="1" applyAlignment="1" applyProtection="1">
      <alignment vertical="center"/>
    </xf>
    <xf numFmtId="0" fontId="0" fillId="5" borderId="53" xfId="0" applyFont="1" applyFill="1" applyBorder="1" applyAlignment="1" applyProtection="1">
      <alignment vertical="center"/>
    </xf>
    <xf numFmtId="0" fontId="0" fillId="5" borderId="58" xfId="0" applyFont="1" applyFill="1" applyBorder="1" applyAlignment="1" applyProtection="1">
      <alignment vertical="center"/>
    </xf>
    <xf numFmtId="0" fontId="0" fillId="5" borderId="59" xfId="0" applyFont="1" applyFill="1" applyBorder="1" applyAlignment="1" applyProtection="1">
      <alignment vertical="center"/>
    </xf>
    <xf numFmtId="0" fontId="0" fillId="5" borderId="60" xfId="0" applyFont="1" applyFill="1" applyBorder="1" applyAlignment="1" applyProtection="1">
      <alignment horizontal="left" vertical="center"/>
    </xf>
    <xf numFmtId="0" fontId="0" fillId="5" borderId="61" xfId="0" applyFont="1" applyFill="1" applyBorder="1" applyAlignment="1" applyProtection="1">
      <alignment horizontal="left" vertical="center"/>
    </xf>
    <xf numFmtId="10" fontId="0" fillId="5" borderId="62" xfId="0" applyNumberFormat="1" applyFont="1" applyFill="1" applyBorder="1" applyAlignment="1" applyProtection="1">
      <alignment vertical="center"/>
    </xf>
    <xf numFmtId="0" fontId="0" fillId="5" borderId="61" xfId="0" applyFont="1" applyFill="1" applyBorder="1" applyAlignment="1" applyProtection="1">
      <alignment horizontal="center" vertical="center"/>
    </xf>
    <xf numFmtId="0" fontId="25" fillId="5" borderId="62" xfId="0" applyFont="1" applyFill="1" applyBorder="1" applyAlignment="1" applyProtection="1">
      <alignment vertical="center"/>
    </xf>
    <xf numFmtId="0" fontId="25" fillId="5" borderId="61" xfId="0" applyFont="1" applyFill="1" applyBorder="1" applyAlignment="1" applyProtection="1">
      <alignment vertical="center"/>
    </xf>
    <xf numFmtId="0" fontId="0" fillId="5" borderId="61" xfId="0" applyFont="1" applyFill="1" applyBorder="1" applyAlignment="1" applyProtection="1">
      <alignment vertical="center"/>
    </xf>
    <xf numFmtId="0" fontId="0" fillId="5" borderId="66" xfId="0" applyFont="1" applyFill="1" applyBorder="1" applyAlignment="1" applyProtection="1">
      <alignment horizontal="left" vertical="center"/>
    </xf>
    <xf numFmtId="0" fontId="0" fillId="5" borderId="67" xfId="0" applyFont="1" applyFill="1" applyBorder="1" applyAlignment="1" applyProtection="1">
      <alignment horizontal="left" vertical="center"/>
    </xf>
    <xf numFmtId="10" fontId="0" fillId="5" borderId="68" xfId="0" applyNumberFormat="1" applyFont="1" applyFill="1" applyBorder="1" applyAlignment="1" applyProtection="1">
      <alignment vertical="center"/>
    </xf>
    <xf numFmtId="0" fontId="0" fillId="5" borderId="67" xfId="0" applyFont="1" applyFill="1" applyBorder="1" applyAlignment="1" applyProtection="1">
      <alignment horizontal="center" vertical="center"/>
    </xf>
    <xf numFmtId="0" fontId="25" fillId="5" borderId="68" xfId="0" applyFont="1" applyFill="1" applyBorder="1" applyAlignment="1" applyProtection="1">
      <alignment vertical="center"/>
    </xf>
    <xf numFmtId="0" fontId="25" fillId="5" borderId="67" xfId="0" applyFont="1" applyFill="1" applyBorder="1" applyAlignment="1" applyProtection="1">
      <alignment vertical="center"/>
    </xf>
    <xf numFmtId="0" fontId="0" fillId="5" borderId="67" xfId="0" applyFont="1" applyFill="1" applyBorder="1" applyAlignment="1" applyProtection="1">
      <alignment vertical="center"/>
    </xf>
    <xf numFmtId="0" fontId="0" fillId="5" borderId="70" xfId="0" applyFont="1" applyFill="1" applyBorder="1" applyAlignment="1" applyProtection="1">
      <alignment horizontal="left" vertical="center"/>
    </xf>
    <xf numFmtId="0" fontId="0" fillId="5" borderId="71" xfId="0" applyFont="1" applyFill="1" applyBorder="1" applyAlignment="1" applyProtection="1">
      <alignment horizontal="left" vertical="center"/>
    </xf>
    <xf numFmtId="10" fontId="0" fillId="5" borderId="72" xfId="0" applyNumberFormat="1" applyFont="1" applyFill="1" applyBorder="1" applyAlignment="1" applyProtection="1">
      <alignment vertical="center"/>
    </xf>
    <xf numFmtId="0" fontId="0" fillId="5" borderId="71" xfId="0" applyFont="1" applyFill="1" applyBorder="1" applyAlignment="1" applyProtection="1">
      <alignment horizontal="center" vertical="center"/>
    </xf>
    <xf numFmtId="0" fontId="25" fillId="5" borderId="72" xfId="0" applyFont="1" applyFill="1" applyBorder="1" applyAlignment="1" applyProtection="1">
      <alignment vertical="center"/>
    </xf>
    <xf numFmtId="0" fontId="25" fillId="5" borderId="71" xfId="0" applyFont="1" applyFill="1" applyBorder="1" applyAlignment="1" applyProtection="1">
      <alignment vertical="center"/>
    </xf>
    <xf numFmtId="0" fontId="0" fillId="5" borderId="71" xfId="0" applyFont="1" applyFill="1" applyBorder="1" applyAlignment="1" applyProtection="1">
      <alignment vertical="center"/>
    </xf>
    <xf numFmtId="10" fontId="0" fillId="5" borderId="0" xfId="0" applyNumberFormat="1" applyFont="1" applyFill="1" applyBorder="1" applyAlignment="1" applyProtection="1">
      <alignment vertical="center"/>
    </xf>
    <xf numFmtId="10" fontId="0" fillId="5" borderId="0" xfId="0" applyNumberFormat="1" applyFont="1" applyFill="1" applyBorder="1" applyAlignment="1" applyProtection="1">
      <alignment horizontal="center" vertical="center"/>
    </xf>
    <xf numFmtId="10" fontId="25" fillId="5" borderId="0" xfId="6" applyNumberFormat="1" applyFont="1" applyFill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horizontal="left" vertical="center" wrapText="1"/>
    </xf>
    <xf numFmtId="0" fontId="0" fillId="5" borderId="47" xfId="0" applyFont="1" applyFill="1" applyBorder="1" applyAlignment="1" applyProtection="1">
      <alignment horizontal="left" vertical="center" wrapText="1"/>
    </xf>
    <xf numFmtId="0" fontId="29" fillId="5" borderId="46" xfId="0" applyFont="1" applyFill="1" applyBorder="1" applyAlignment="1" applyProtection="1">
      <alignment horizontal="left" vertical="center"/>
    </xf>
    <xf numFmtId="0" fontId="29" fillId="5" borderId="0" xfId="0" applyFont="1" applyFill="1" applyBorder="1" applyAlignment="1" applyProtection="1">
      <alignment horizontal="left" vertical="center"/>
    </xf>
    <xf numFmtId="0" fontId="29" fillId="5" borderId="0" xfId="0" applyFont="1" applyFill="1" applyBorder="1" applyAlignment="1" applyProtection="1">
      <alignment vertical="center"/>
    </xf>
    <xf numFmtId="0" fontId="7" fillId="5" borderId="0" xfId="0" applyFont="1" applyFill="1" applyBorder="1" applyAlignment="1" applyProtection="1">
      <alignment vertical="center"/>
    </xf>
    <xf numFmtId="0" fontId="29" fillId="5" borderId="47" xfId="0" applyFont="1" applyFill="1" applyBorder="1" applyAlignment="1" applyProtection="1">
      <alignment vertical="center"/>
    </xf>
    <xf numFmtId="43" fontId="23" fillId="0" borderId="1" xfId="0" applyNumberFormat="1" applyFont="1" applyFill="1" applyBorder="1" applyAlignment="1">
      <alignment horizontal="center" vertical="center" wrapText="1"/>
    </xf>
    <xf numFmtId="43" fontId="11" fillId="0" borderId="1" xfId="0" applyNumberFormat="1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43" fontId="22" fillId="7" borderId="1" xfId="0" applyNumberFormat="1" applyFont="1" applyFill="1" applyBorder="1" applyAlignment="1">
      <alignment horizontal="center" vertical="center" wrapText="1"/>
    </xf>
    <xf numFmtId="43" fontId="3" fillId="7" borderId="1" xfId="0" applyNumberFormat="1" applyFont="1" applyFill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4" fillId="7" borderId="18" xfId="0" applyNumberFormat="1" applyFont="1" applyFill="1" applyBorder="1" applyAlignment="1">
      <alignment horizontal="center" vertical="center" wrapText="1"/>
    </xf>
    <xf numFmtId="0" fontId="21" fillId="7" borderId="1" xfId="1" applyFont="1" applyFill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left"/>
    </xf>
    <xf numFmtId="0" fontId="4" fillId="2" borderId="36" xfId="0" applyFont="1" applyFill="1" applyBorder="1" applyAlignment="1">
      <alignment horizontal="center"/>
    </xf>
    <xf numFmtId="0" fontId="6" fillId="0" borderId="2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44" fontId="16" fillId="3" borderId="18" xfId="0" applyNumberFormat="1" applyFont="1" applyFill="1" applyBorder="1" applyAlignment="1">
      <alignment horizontal="center" vertical="center"/>
    </xf>
    <xf numFmtId="0" fontId="18" fillId="3" borderId="31" xfId="0" applyFont="1" applyFill="1" applyBorder="1" applyAlignment="1">
      <alignment horizontal="right" vertical="center" wrapText="1"/>
    </xf>
    <xf numFmtId="0" fontId="18" fillId="3" borderId="33" xfId="0" applyFont="1" applyFill="1" applyBorder="1" applyAlignment="1">
      <alignment horizontal="right" vertical="center" wrapText="1"/>
    </xf>
    <xf numFmtId="0" fontId="18" fillId="3" borderId="34" xfId="0" applyFont="1" applyFill="1" applyBorder="1" applyAlignment="1">
      <alignment horizontal="right" vertical="center" wrapText="1"/>
    </xf>
    <xf numFmtId="44" fontId="19" fillId="3" borderId="31" xfId="0" applyNumberFormat="1" applyFont="1" applyFill="1" applyBorder="1" applyAlignment="1">
      <alignment horizontal="center" vertical="center" wrapText="1"/>
    </xf>
    <xf numFmtId="44" fontId="19" fillId="3" borderId="32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5" fillId="3" borderId="21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0" fontId="0" fillId="5" borderId="67" xfId="0" applyNumberFormat="1" applyFont="1" applyFill="1" applyBorder="1" applyAlignment="1" applyProtection="1">
      <alignment horizontal="center" vertical="center"/>
    </xf>
    <xf numFmtId="10" fontId="0" fillId="5" borderId="69" xfId="0" applyNumberFormat="1" applyFont="1" applyFill="1" applyBorder="1" applyAlignment="1" applyProtection="1">
      <alignment horizontal="center" vertical="center"/>
    </xf>
    <xf numFmtId="10" fontId="25" fillId="5" borderId="67" xfId="6" applyNumberFormat="1" applyFont="1" applyFill="1" applyBorder="1" applyAlignment="1" applyProtection="1">
      <alignment horizontal="right" vertical="center"/>
      <protection locked="0"/>
    </xf>
    <xf numFmtId="10" fontId="0" fillId="5" borderId="61" xfId="0" applyNumberFormat="1" applyFont="1" applyFill="1" applyBorder="1" applyAlignment="1" applyProtection="1">
      <alignment horizontal="center" vertical="center"/>
    </xf>
    <xf numFmtId="10" fontId="0" fillId="5" borderId="63" xfId="0" applyNumberFormat="1" applyFont="1" applyFill="1" applyBorder="1" applyAlignment="1" applyProtection="1">
      <alignment horizontal="center" vertical="center"/>
    </xf>
    <xf numFmtId="10" fontId="25" fillId="5" borderId="61" xfId="6" applyNumberFormat="1" applyFont="1" applyFill="1" applyBorder="1" applyAlignment="1" applyProtection="1">
      <alignment horizontal="right" vertical="center"/>
      <protection locked="0"/>
    </xf>
    <xf numFmtId="0" fontId="0" fillId="5" borderId="64" xfId="0" applyFill="1" applyBorder="1" applyAlignment="1" applyProtection="1">
      <alignment horizontal="left" vertical="center" wrapText="1"/>
    </xf>
    <xf numFmtId="0" fontId="0" fillId="5" borderId="64" xfId="0" applyFont="1" applyFill="1" applyBorder="1" applyAlignment="1" applyProtection="1">
      <alignment horizontal="left" vertical="center" wrapText="1"/>
    </xf>
    <xf numFmtId="0" fontId="0" fillId="5" borderId="65" xfId="0" applyFont="1" applyFill="1" applyBorder="1" applyAlignment="1" applyProtection="1">
      <alignment horizontal="left" vertical="center" wrapText="1"/>
    </xf>
    <xf numFmtId="10" fontId="0" fillId="5" borderId="71" xfId="0" applyNumberFormat="1" applyFont="1" applyFill="1" applyBorder="1" applyAlignment="1" applyProtection="1">
      <alignment horizontal="center" vertical="center"/>
    </xf>
    <xf numFmtId="10" fontId="0" fillId="5" borderId="73" xfId="0" applyNumberFormat="1" applyFont="1" applyFill="1" applyBorder="1" applyAlignment="1" applyProtection="1">
      <alignment horizontal="center" vertical="center"/>
    </xf>
    <xf numFmtId="10" fontId="25" fillId="5" borderId="71" xfId="6" applyNumberFormat="1" applyFont="1" applyFill="1" applyBorder="1" applyAlignment="1" applyProtection="1">
      <alignment horizontal="right" vertical="center"/>
      <protection locked="0"/>
    </xf>
    <xf numFmtId="0" fontId="25" fillId="5" borderId="56" xfId="0" applyFont="1" applyFill="1" applyBorder="1" applyAlignment="1" applyProtection="1">
      <alignment horizontal="right" vertical="center"/>
    </xf>
    <xf numFmtId="10" fontId="25" fillId="5" borderId="57" xfId="6" applyNumberFormat="1" applyFont="1" applyFill="1" applyBorder="1" applyAlignment="1" applyProtection="1">
      <alignment horizontal="center" vertical="center"/>
    </xf>
    <xf numFmtId="10" fontId="25" fillId="5" borderId="55" xfId="6" applyNumberFormat="1" applyFont="1" applyFill="1" applyBorder="1" applyAlignment="1" applyProtection="1">
      <alignment horizontal="center" vertical="center"/>
    </xf>
    <xf numFmtId="0" fontId="27" fillId="5" borderId="46" xfId="0" applyFont="1" applyFill="1" applyBorder="1" applyAlignment="1" applyProtection="1">
      <alignment horizontal="left" vertical="center"/>
    </xf>
    <xf numFmtId="0" fontId="27" fillId="5" borderId="47" xfId="0" applyFont="1" applyFill="1" applyBorder="1" applyAlignment="1" applyProtection="1">
      <alignment horizontal="right" vertical="center"/>
    </xf>
    <xf numFmtId="0" fontId="25" fillId="5" borderId="49" xfId="0" applyFont="1" applyFill="1" applyBorder="1" applyAlignment="1" applyProtection="1">
      <alignment horizontal="left" vertical="center"/>
      <protection locked="0"/>
    </xf>
    <xf numFmtId="0" fontId="25" fillId="5" borderId="50" xfId="0" applyFont="1" applyFill="1" applyBorder="1" applyAlignment="1" applyProtection="1">
      <alignment horizontal="center" vertical="center"/>
      <protection locked="0"/>
    </xf>
    <xf numFmtId="0" fontId="25" fillId="6" borderId="49" xfId="0" applyFont="1" applyFill="1" applyBorder="1" applyAlignment="1" applyProtection="1">
      <alignment horizontal="left" vertical="center"/>
      <protection locked="0"/>
    </xf>
    <xf numFmtId="0" fontId="25" fillId="5" borderId="51" xfId="0" applyFont="1" applyFill="1" applyBorder="1" applyAlignment="1" applyProtection="1">
      <alignment horizontal="left" vertical="center"/>
      <protection locked="0"/>
    </xf>
    <xf numFmtId="0" fontId="0" fillId="5" borderId="50" xfId="0" applyFill="1" applyBorder="1" applyAlignment="1" applyProtection="1">
      <alignment horizontal="center" vertical="center"/>
      <protection locked="0"/>
    </xf>
    <xf numFmtId="0" fontId="0" fillId="5" borderId="50" xfId="0" applyFont="1" applyFill="1" applyBorder="1" applyAlignment="1" applyProtection="1">
      <alignment horizontal="center" vertical="center"/>
      <protection locked="0"/>
    </xf>
    <xf numFmtId="0" fontId="0" fillId="5" borderId="49" xfId="0" applyFont="1" applyFill="1" applyBorder="1" applyAlignment="1" applyProtection="1">
      <alignment horizontal="left" vertical="center"/>
      <protection locked="0"/>
    </xf>
    <xf numFmtId="166" fontId="0" fillId="5" borderId="51" xfId="0" applyNumberFormat="1" applyFont="1" applyFill="1" applyBorder="1" applyAlignment="1" applyProtection="1">
      <alignment horizontal="left" vertical="center"/>
      <protection locked="0"/>
    </xf>
    <xf numFmtId="166" fontId="25" fillId="5" borderId="50" xfId="0" applyNumberFormat="1" applyFont="1" applyFill="1" applyBorder="1" applyAlignment="1" applyProtection="1">
      <alignment horizontal="left" vertical="center"/>
      <protection locked="0"/>
    </xf>
    <xf numFmtId="0" fontId="0" fillId="5" borderId="54" xfId="0" applyFont="1" applyFill="1" applyBorder="1" applyAlignment="1" applyProtection="1">
      <alignment horizontal="center" vertical="center" wrapText="1"/>
    </xf>
    <xf numFmtId="0" fontId="25" fillId="5" borderId="55" xfId="0" applyFont="1" applyFill="1" applyBorder="1" applyAlignment="1" applyProtection="1">
      <alignment horizontal="center" vertical="center"/>
    </xf>
  </cellXfs>
  <cellStyles count="7">
    <cellStyle name="Normal" xfId="0" builtinId="0"/>
    <cellStyle name="Normal 2" xfId="2"/>
    <cellStyle name="Normal 2 2" xfId="3"/>
    <cellStyle name="Normal 3" xfId="1"/>
    <cellStyle name="Normal 4" xfId="5"/>
    <cellStyle name="Porcentagem" xfId="6" builtinId="5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1</xdr:row>
      <xdr:rowOff>47625</xdr:rowOff>
    </xdr:from>
    <xdr:to>
      <xdr:col>2</xdr:col>
      <xdr:colOff>189261</xdr:colOff>
      <xdr:row>6</xdr:row>
      <xdr:rowOff>163118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247650"/>
          <a:ext cx="913160" cy="10679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1</xdr:col>
      <xdr:colOff>228600</xdr:colOff>
      <xdr:row>5</xdr:row>
      <xdr:rowOff>78155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200026"/>
          <a:ext cx="561975" cy="8401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219076</xdr:colOff>
      <xdr:row>0</xdr:row>
      <xdr:rowOff>47625</xdr:rowOff>
    </xdr:from>
    <xdr:to>
      <xdr:col>2</xdr:col>
      <xdr:colOff>332136</xdr:colOff>
      <xdr:row>7</xdr:row>
      <xdr:rowOff>29768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6" y="47625"/>
          <a:ext cx="913160" cy="10679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66675</xdr:rowOff>
    </xdr:from>
    <xdr:to>
      <xdr:col>9</xdr:col>
      <xdr:colOff>847725</xdr:colOff>
      <xdr:row>40</xdr:row>
      <xdr:rowOff>121920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43475"/>
          <a:ext cx="8705850" cy="115062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2</xdr:col>
      <xdr:colOff>265460</xdr:colOff>
      <xdr:row>5</xdr:row>
      <xdr:rowOff>67868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1332260" cy="1058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13" workbookViewId="0">
      <selection activeCell="D26" sqref="D26"/>
    </sheetView>
  </sheetViews>
  <sheetFormatPr defaultRowHeight="15"/>
  <cols>
    <col min="1" max="1" width="6.28515625" customWidth="1"/>
    <col min="2" max="2" width="8.140625" customWidth="1"/>
    <col min="3" max="3" width="8.28515625" customWidth="1"/>
    <col min="4" max="4" width="57.42578125" customWidth="1"/>
    <col min="5" max="5" width="7.28515625" customWidth="1"/>
    <col min="7" max="7" width="9.140625" style="25" customWidth="1"/>
    <col min="8" max="8" width="11.28515625" customWidth="1"/>
    <col min="9" max="9" width="11.85546875" customWidth="1"/>
  </cols>
  <sheetData>
    <row r="1" spans="1:9" ht="15.75" thickBot="1"/>
    <row r="2" spans="1:9">
      <c r="A2" s="30"/>
      <c r="B2" s="31"/>
      <c r="C2" s="31"/>
      <c r="D2" s="199" t="s">
        <v>16</v>
      </c>
      <c r="E2" s="199"/>
      <c r="F2" s="199"/>
      <c r="G2" s="199"/>
      <c r="H2" s="199"/>
      <c r="I2" s="200"/>
    </row>
    <row r="3" spans="1:9">
      <c r="A3" s="32"/>
      <c r="B3" s="33"/>
      <c r="C3" s="33"/>
      <c r="D3" s="201" t="s">
        <v>24</v>
      </c>
      <c r="E3" s="201"/>
      <c r="F3" s="201"/>
      <c r="G3" s="201"/>
      <c r="H3" s="201"/>
      <c r="I3" s="202"/>
    </row>
    <row r="4" spans="1:9">
      <c r="A4" s="32"/>
      <c r="B4" s="33"/>
      <c r="C4" s="33"/>
      <c r="D4" s="201" t="s">
        <v>25</v>
      </c>
      <c r="E4" s="201"/>
      <c r="F4" s="201"/>
      <c r="G4" s="201"/>
      <c r="H4" s="201"/>
      <c r="I4" s="202"/>
    </row>
    <row r="5" spans="1:9">
      <c r="A5" s="32"/>
      <c r="B5" s="33"/>
      <c r="C5" s="33"/>
      <c r="D5" s="201" t="s">
        <v>17</v>
      </c>
      <c r="E5" s="201"/>
      <c r="F5" s="201"/>
      <c r="G5" s="201"/>
      <c r="H5" s="201"/>
      <c r="I5" s="202"/>
    </row>
    <row r="6" spans="1:9">
      <c r="A6" s="32"/>
      <c r="B6" s="33"/>
      <c r="C6" s="33"/>
      <c r="D6" s="201" t="s">
        <v>18</v>
      </c>
      <c r="E6" s="201"/>
      <c r="F6" s="201"/>
      <c r="G6" s="201"/>
      <c r="H6" s="201"/>
      <c r="I6" s="202"/>
    </row>
    <row r="7" spans="1:9" ht="15.75" thickBot="1">
      <c r="A7" s="34"/>
      <c r="B7" s="35"/>
      <c r="C7" s="35"/>
      <c r="D7" s="197" t="s">
        <v>19</v>
      </c>
      <c r="E7" s="197"/>
      <c r="F7" s="197"/>
      <c r="G7" s="197"/>
      <c r="H7" s="197"/>
      <c r="I7" s="198"/>
    </row>
    <row r="8" spans="1:9">
      <c r="A8" t="s">
        <v>31</v>
      </c>
      <c r="D8" s="20"/>
      <c r="E8" s="20"/>
      <c r="G8" s="27"/>
      <c r="I8" s="55" t="s">
        <v>14</v>
      </c>
    </row>
    <row r="9" spans="1:9">
      <c r="A9" t="s">
        <v>15</v>
      </c>
    </row>
    <row r="10" spans="1:9" s="1" customFormat="1">
      <c r="A10" s="13" t="s">
        <v>0</v>
      </c>
      <c r="B10" s="13" t="s">
        <v>1</v>
      </c>
      <c r="C10" s="13" t="s">
        <v>2</v>
      </c>
      <c r="D10" s="13" t="s">
        <v>70</v>
      </c>
      <c r="E10" s="13" t="s">
        <v>3</v>
      </c>
      <c r="F10" s="13" t="s">
        <v>4</v>
      </c>
      <c r="G10" s="13" t="s">
        <v>5</v>
      </c>
      <c r="H10" s="13" t="s">
        <v>6</v>
      </c>
      <c r="I10" s="13" t="s">
        <v>7</v>
      </c>
    </row>
    <row r="11" spans="1:9">
      <c r="A11" s="43">
        <v>1</v>
      </c>
      <c r="B11" s="5"/>
      <c r="C11" s="5"/>
      <c r="D11" s="4" t="s">
        <v>26</v>
      </c>
      <c r="E11" s="5"/>
      <c r="F11" s="5"/>
      <c r="G11" s="5"/>
      <c r="H11" s="52">
        <f>H12</f>
        <v>2240</v>
      </c>
      <c r="I11" s="53">
        <f>I12</f>
        <v>2711.9680000000003</v>
      </c>
    </row>
    <row r="12" spans="1:9" ht="23.25">
      <c r="A12" s="43" t="s">
        <v>8</v>
      </c>
      <c r="B12" s="44">
        <v>4813</v>
      </c>
      <c r="C12" s="44" t="s">
        <v>9</v>
      </c>
      <c r="D12" s="42" t="s">
        <v>27</v>
      </c>
      <c r="E12" s="41" t="s">
        <v>23</v>
      </c>
      <c r="F12" s="45">
        <f>2*4</f>
        <v>8</v>
      </c>
      <c r="G12" s="46">
        <v>280</v>
      </c>
      <c r="H12" s="45">
        <f>F12*G12</f>
        <v>2240</v>
      </c>
      <c r="I12" s="47">
        <f>H12*1.2107</f>
        <v>2711.9680000000003</v>
      </c>
    </row>
    <row r="13" spans="1:9">
      <c r="A13" s="43"/>
      <c r="B13" s="44"/>
      <c r="C13" s="44"/>
      <c r="D13" s="42"/>
      <c r="E13" s="41"/>
      <c r="F13" s="45"/>
      <c r="G13" s="46"/>
      <c r="H13" s="45"/>
      <c r="I13" s="47"/>
    </row>
    <row r="14" spans="1:9">
      <c r="A14" s="43">
        <v>2</v>
      </c>
      <c r="B14" s="44"/>
      <c r="C14" s="44"/>
      <c r="D14" s="4" t="s">
        <v>28</v>
      </c>
      <c r="E14" s="5"/>
      <c r="F14" s="5"/>
      <c r="G14" s="5"/>
      <c r="H14" s="52">
        <f>H15</f>
        <v>80017.505279999983</v>
      </c>
      <c r="I14" s="53">
        <f>I15</f>
        <v>96877.193642495986</v>
      </c>
    </row>
    <row r="15" spans="1:9">
      <c r="A15" s="43" t="s">
        <v>35</v>
      </c>
      <c r="B15" s="44">
        <v>420200</v>
      </c>
      <c r="C15" s="44" t="s">
        <v>29</v>
      </c>
      <c r="D15" s="42" t="s">
        <v>30</v>
      </c>
      <c r="E15" s="41" t="s">
        <v>10</v>
      </c>
      <c r="F15" s="45">
        <f>38322.56*0.3</f>
        <v>11496.767999999998</v>
      </c>
      <c r="G15" s="46">
        <v>6.96</v>
      </c>
      <c r="H15" s="45">
        <f>F15*G15</f>
        <v>80017.505279999983</v>
      </c>
      <c r="I15" s="47">
        <f>H15*1.2107</f>
        <v>96877.193642495986</v>
      </c>
    </row>
    <row r="16" spans="1:9">
      <c r="A16" s="43"/>
      <c r="B16" s="44"/>
      <c r="C16" s="44"/>
      <c r="D16" s="42"/>
      <c r="E16" s="41"/>
      <c r="F16" s="45"/>
      <c r="G16" s="46"/>
      <c r="H16" s="45"/>
      <c r="I16" s="47"/>
    </row>
    <row r="17" spans="1:9">
      <c r="A17" s="43">
        <v>3</v>
      </c>
      <c r="B17" s="44"/>
      <c r="C17" s="44"/>
      <c r="D17" s="4" t="s">
        <v>32</v>
      </c>
      <c r="E17" s="5"/>
      <c r="F17" s="5"/>
      <c r="G17" s="5"/>
      <c r="H17" s="52">
        <f>SUM(H18:H21)</f>
        <v>749443.647872</v>
      </c>
      <c r="I17" s="52">
        <f>SUM(I18:I21)</f>
        <v>907351.42447863054</v>
      </c>
    </row>
    <row r="18" spans="1:9">
      <c r="A18" s="43" t="s">
        <v>36</v>
      </c>
      <c r="B18" s="44">
        <v>401160</v>
      </c>
      <c r="C18" s="44" t="s">
        <v>29</v>
      </c>
      <c r="D18" s="42" t="s">
        <v>33</v>
      </c>
      <c r="E18" s="41" t="s">
        <v>23</v>
      </c>
      <c r="F18" s="45">
        <f>38322.56</f>
        <v>38322.559999999998</v>
      </c>
      <c r="G18" s="46">
        <v>0.15</v>
      </c>
      <c r="H18" s="45">
        <f>F18*G18</f>
        <v>5748.3839999999991</v>
      </c>
      <c r="I18" s="47">
        <f>H18*1.2107</f>
        <v>6959.5685087999991</v>
      </c>
    </row>
    <row r="19" spans="1:9">
      <c r="A19" s="43" t="s">
        <v>37</v>
      </c>
      <c r="B19" s="44">
        <v>6081</v>
      </c>
      <c r="C19" s="44" t="s">
        <v>9</v>
      </c>
      <c r="D19" s="42" t="s">
        <v>34</v>
      </c>
      <c r="E19" s="41" t="s">
        <v>10</v>
      </c>
      <c r="F19" s="45">
        <f>38322.56*0.3</f>
        <v>11496.767999999998</v>
      </c>
      <c r="G19" s="46">
        <v>24.43</v>
      </c>
      <c r="H19" s="45">
        <f>F19*G19</f>
        <v>280866.04223999998</v>
      </c>
      <c r="I19" s="47">
        <f>H19*1.2107</f>
        <v>340044.51733996801</v>
      </c>
    </row>
    <row r="20" spans="1:9">
      <c r="A20" s="43" t="s">
        <v>40</v>
      </c>
      <c r="B20" s="44">
        <v>511100</v>
      </c>
      <c r="C20" s="44" t="s">
        <v>29</v>
      </c>
      <c r="D20" s="42" t="s">
        <v>39</v>
      </c>
      <c r="E20" s="41" t="s">
        <v>23</v>
      </c>
      <c r="F20" s="45">
        <f>38322.56</f>
        <v>38322.559999999998</v>
      </c>
      <c r="G20" s="46">
        <v>2.5299999999999998</v>
      </c>
      <c r="H20" s="45">
        <f>F20*G20</f>
        <v>96956.076799999981</v>
      </c>
      <c r="I20" s="47">
        <f>H20*1.2107</f>
        <v>117384.72218175999</v>
      </c>
    </row>
    <row r="21" spans="1:9" ht="34.5">
      <c r="A21" s="43" t="s">
        <v>41</v>
      </c>
      <c r="B21" s="44">
        <v>94116</v>
      </c>
      <c r="C21" s="44" t="s">
        <v>9</v>
      </c>
      <c r="D21" s="42" t="s">
        <v>38</v>
      </c>
      <c r="E21" s="41" t="s">
        <v>10</v>
      </c>
      <c r="F21" s="45">
        <f>38322.56*0.08</f>
        <v>3065.8047999999999</v>
      </c>
      <c r="G21" s="46">
        <v>119.34</v>
      </c>
      <c r="H21" s="45">
        <f>F21*G21</f>
        <v>365873.14483200002</v>
      </c>
      <c r="I21" s="47">
        <f>H21*1.2107</f>
        <v>442962.61644810246</v>
      </c>
    </row>
    <row r="22" spans="1:9">
      <c r="A22" s="43"/>
      <c r="B22" s="44"/>
      <c r="C22" s="44"/>
      <c r="D22" s="48"/>
      <c r="E22" s="48"/>
      <c r="F22" s="48"/>
      <c r="G22" s="49"/>
      <c r="H22" s="48"/>
      <c r="I22" s="50"/>
    </row>
    <row r="23" spans="1:9">
      <c r="A23" s="43">
        <v>4</v>
      </c>
      <c r="B23" s="44"/>
      <c r="C23" s="44"/>
      <c r="D23" s="4" t="s">
        <v>21</v>
      </c>
      <c r="E23" s="5"/>
      <c r="F23" s="5"/>
      <c r="G23" s="5"/>
      <c r="H23" s="52">
        <f>SUM(H24:H25)</f>
        <v>1953431.1799039999</v>
      </c>
      <c r="I23" s="52">
        <f>SUM(I24:I25)</f>
        <v>2365019.1295097726</v>
      </c>
    </row>
    <row r="24" spans="1:9" ht="23.25">
      <c r="A24" s="43" t="s">
        <v>42</v>
      </c>
      <c r="B24" s="44">
        <v>92394</v>
      </c>
      <c r="C24" s="44" t="s">
        <v>9</v>
      </c>
      <c r="D24" s="42" t="s">
        <v>22</v>
      </c>
      <c r="E24" s="41" t="s">
        <v>23</v>
      </c>
      <c r="F24" s="45">
        <f>38322.56</f>
        <v>38322.559999999998</v>
      </c>
      <c r="G24" s="46">
        <v>49.78</v>
      </c>
      <c r="H24" s="45">
        <f>F24*G24</f>
        <v>1907697.0367999999</v>
      </c>
      <c r="I24" s="47">
        <f>H24*1.2107</f>
        <v>2309648.8024537601</v>
      </c>
    </row>
    <row r="25" spans="1:9" ht="34.5">
      <c r="A25" s="43" t="s">
        <v>43</v>
      </c>
      <c r="B25" s="44">
        <v>94116</v>
      </c>
      <c r="C25" s="44" t="s">
        <v>9</v>
      </c>
      <c r="D25" s="42" t="s">
        <v>44</v>
      </c>
      <c r="E25" s="41" t="s">
        <v>10</v>
      </c>
      <c r="F25" s="45">
        <f>38322.56*0.01</f>
        <v>383.22559999999999</v>
      </c>
      <c r="G25" s="46">
        <v>119.34</v>
      </c>
      <c r="H25" s="45">
        <f>F25*G25</f>
        <v>45734.143104000002</v>
      </c>
      <c r="I25" s="47">
        <f>H25*1.2107</f>
        <v>55370.327056012808</v>
      </c>
    </row>
    <row r="26" spans="1:9">
      <c r="A26" s="43"/>
      <c r="B26" s="44"/>
      <c r="C26" s="44"/>
      <c r="D26" s="51"/>
      <c r="E26" s="38"/>
      <c r="F26" s="40"/>
      <c r="G26" s="39"/>
      <c r="H26" s="40"/>
      <c r="I26" s="40"/>
    </row>
    <row r="27" spans="1:9">
      <c r="A27" s="43">
        <v>5</v>
      </c>
      <c r="B27" s="44"/>
      <c r="C27" s="44"/>
      <c r="D27" s="4" t="s">
        <v>45</v>
      </c>
      <c r="E27" s="5"/>
      <c r="F27" s="5"/>
      <c r="G27" s="5"/>
      <c r="H27" s="52">
        <f>SUM(H28:H29)</f>
        <v>478026.63</v>
      </c>
      <c r="I27" s="52">
        <f>SUM(I28:I29)</f>
        <v>578746.84094100003</v>
      </c>
    </row>
    <row r="28" spans="1:9">
      <c r="A28" s="43" t="s">
        <v>48</v>
      </c>
      <c r="B28" s="44">
        <v>810650</v>
      </c>
      <c r="C28" s="44" t="s">
        <v>29</v>
      </c>
      <c r="D28" s="42" t="s">
        <v>46</v>
      </c>
      <c r="E28" s="41" t="s">
        <v>11</v>
      </c>
      <c r="F28" s="45">
        <v>1419</v>
      </c>
      <c r="G28" s="46">
        <v>27.41</v>
      </c>
      <c r="H28" s="45">
        <f>F28*G28</f>
        <v>38894.79</v>
      </c>
      <c r="I28" s="47">
        <f>H28*1.2107</f>
        <v>47089.922253000004</v>
      </c>
    </row>
    <row r="29" spans="1:9">
      <c r="A29" s="43" t="s">
        <v>51</v>
      </c>
      <c r="B29" s="44">
        <v>810550</v>
      </c>
      <c r="C29" s="44" t="s">
        <v>29</v>
      </c>
      <c r="D29" s="42" t="s">
        <v>47</v>
      </c>
      <c r="E29" s="41" t="s">
        <v>10</v>
      </c>
      <c r="F29" s="45">
        <v>7841.64</v>
      </c>
      <c r="G29" s="46">
        <v>56</v>
      </c>
      <c r="H29" s="45">
        <f>F29*G29</f>
        <v>439131.84</v>
      </c>
      <c r="I29" s="47">
        <f>H29*1.2107</f>
        <v>531656.91868800006</v>
      </c>
    </row>
    <row r="30" spans="1:9">
      <c r="A30" s="36"/>
      <c r="B30" s="44"/>
      <c r="C30" s="44"/>
      <c r="D30" s="37"/>
      <c r="E30" s="7"/>
      <c r="F30" s="7"/>
      <c r="G30" s="7"/>
      <c r="H30" s="9"/>
      <c r="I30" s="6"/>
    </row>
    <row r="31" spans="1:9">
      <c r="A31" s="4">
        <v>6</v>
      </c>
      <c r="B31" s="44"/>
      <c r="C31" s="44"/>
      <c r="D31" s="4" t="s">
        <v>50</v>
      </c>
      <c r="E31" s="5"/>
      <c r="F31" s="5"/>
      <c r="G31" s="5"/>
      <c r="H31" s="52">
        <f>SUM(H32:H39)</f>
        <v>177488.30399999997</v>
      </c>
      <c r="I31" s="52">
        <f>SUM(I32:I39)</f>
        <v>214885.0896528</v>
      </c>
    </row>
    <row r="32" spans="1:9" ht="45.75">
      <c r="A32" s="43" t="s">
        <v>52</v>
      </c>
      <c r="B32" s="44">
        <v>90093</v>
      </c>
      <c r="C32" s="44" t="s">
        <v>9</v>
      </c>
      <c r="D32" s="42" t="s">
        <v>49</v>
      </c>
      <c r="E32" s="41" t="s">
        <v>10</v>
      </c>
      <c r="F32" s="45">
        <v>1377</v>
      </c>
      <c r="G32" s="45">
        <v>4.53</v>
      </c>
      <c r="H32" s="45">
        <f t="shared" ref="H32:H39" si="0">F32*G32</f>
        <v>6237.81</v>
      </c>
      <c r="I32" s="45">
        <f>H32*1.2107</f>
        <v>7552.1165670000009</v>
      </c>
    </row>
    <row r="33" spans="1:11" ht="41.25" customHeight="1">
      <c r="A33" s="43" t="s">
        <v>54</v>
      </c>
      <c r="B33" s="44">
        <v>92210</v>
      </c>
      <c r="C33" s="44" t="s">
        <v>9</v>
      </c>
      <c r="D33" s="42" t="s">
        <v>53</v>
      </c>
      <c r="E33" s="41" t="s">
        <v>11</v>
      </c>
      <c r="F33" s="45">
        <f>1377+8*9</f>
        <v>1449</v>
      </c>
      <c r="G33" s="45">
        <v>84.05</v>
      </c>
      <c r="H33" s="45">
        <f t="shared" si="0"/>
        <v>121788.45</v>
      </c>
      <c r="I33" s="45">
        <f t="shared" ref="I33:I39" si="1">H33*1.2107</f>
        <v>147449.276415</v>
      </c>
      <c r="K33" s="26"/>
    </row>
    <row r="34" spans="1:11" ht="45.75">
      <c r="A34" s="43" t="s">
        <v>56</v>
      </c>
      <c r="B34" s="44">
        <v>93373</v>
      </c>
      <c r="C34" s="44" t="s">
        <v>9</v>
      </c>
      <c r="D34" s="42" t="s">
        <v>55</v>
      </c>
      <c r="E34" s="41" t="s">
        <v>10</v>
      </c>
      <c r="F34" s="45">
        <v>1184.73</v>
      </c>
      <c r="G34" s="45">
        <v>5.8</v>
      </c>
      <c r="H34" s="45">
        <f t="shared" si="0"/>
        <v>6871.4340000000002</v>
      </c>
      <c r="I34" s="45">
        <f t="shared" si="1"/>
        <v>8319.2451438000007</v>
      </c>
    </row>
    <row r="35" spans="1:11" ht="34.5">
      <c r="A35" s="43" t="s">
        <v>60</v>
      </c>
      <c r="B35" s="44">
        <v>99257</v>
      </c>
      <c r="C35" s="44" t="s">
        <v>9</v>
      </c>
      <c r="D35" s="42" t="s">
        <v>57</v>
      </c>
      <c r="E35" s="41" t="s">
        <v>58</v>
      </c>
      <c r="F35" s="45">
        <v>9</v>
      </c>
      <c r="G35" s="45">
        <v>760.12</v>
      </c>
      <c r="H35" s="45">
        <f t="shared" si="0"/>
        <v>6841.08</v>
      </c>
      <c r="I35" s="45">
        <f t="shared" si="1"/>
        <v>8282.4955559999999</v>
      </c>
    </row>
    <row r="36" spans="1:11" ht="34.5">
      <c r="A36" s="43" t="s">
        <v>61</v>
      </c>
      <c r="B36" s="44">
        <v>83659</v>
      </c>
      <c r="C36" s="44" t="s">
        <v>9</v>
      </c>
      <c r="D36" s="42" t="s">
        <v>59</v>
      </c>
      <c r="E36" s="41" t="s">
        <v>58</v>
      </c>
      <c r="F36" s="45">
        <v>18</v>
      </c>
      <c r="G36" s="45">
        <v>832.47</v>
      </c>
      <c r="H36" s="45">
        <f t="shared" si="0"/>
        <v>14984.460000000001</v>
      </c>
      <c r="I36" s="45">
        <f t="shared" si="1"/>
        <v>18141.685722000002</v>
      </c>
    </row>
    <row r="37" spans="1:11" ht="34.5">
      <c r="A37" s="43" t="s">
        <v>63</v>
      </c>
      <c r="B37" s="44" t="s">
        <v>12</v>
      </c>
      <c r="C37" s="44" t="s">
        <v>9</v>
      </c>
      <c r="D37" s="42" t="s">
        <v>62</v>
      </c>
      <c r="E37" s="41" t="s">
        <v>58</v>
      </c>
      <c r="F37" s="45">
        <v>9</v>
      </c>
      <c r="G37" s="45">
        <v>1128.68</v>
      </c>
      <c r="H37" s="45">
        <f t="shared" si="0"/>
        <v>10158.120000000001</v>
      </c>
      <c r="I37" s="45">
        <f t="shared" si="1"/>
        <v>12298.435884000002</v>
      </c>
    </row>
    <row r="38" spans="1:11" ht="23.25">
      <c r="A38" s="43" t="s">
        <v>64</v>
      </c>
      <c r="B38" s="44">
        <v>99319</v>
      </c>
      <c r="C38" s="44" t="s">
        <v>9</v>
      </c>
      <c r="D38" s="42" t="s">
        <v>66</v>
      </c>
      <c r="E38" s="41" t="s">
        <v>58</v>
      </c>
      <c r="F38" s="45">
        <v>9</v>
      </c>
      <c r="G38" s="45">
        <v>789.96</v>
      </c>
      <c r="H38" s="45">
        <f t="shared" si="0"/>
        <v>7109.64</v>
      </c>
      <c r="I38" s="45">
        <f t="shared" si="1"/>
        <v>8607.6411480000006</v>
      </c>
    </row>
    <row r="39" spans="1:11" ht="23.25">
      <c r="A39" s="43" t="s">
        <v>65</v>
      </c>
      <c r="B39" s="44">
        <v>11301</v>
      </c>
      <c r="C39" s="44" t="s">
        <v>9</v>
      </c>
      <c r="D39" s="42" t="s">
        <v>67</v>
      </c>
      <c r="E39" s="41" t="s">
        <v>58</v>
      </c>
      <c r="F39" s="45">
        <v>9</v>
      </c>
      <c r="G39" s="45">
        <v>388.59</v>
      </c>
      <c r="H39" s="45">
        <f t="shared" si="0"/>
        <v>3497.31</v>
      </c>
      <c r="I39" s="45">
        <f t="shared" si="1"/>
        <v>4234.193217</v>
      </c>
    </row>
    <row r="40" spans="1:11">
      <c r="A40" s="9"/>
      <c r="B40" s="8"/>
      <c r="C40" s="8"/>
      <c r="D40" s="11" t="s">
        <v>13</v>
      </c>
      <c r="E40" s="8"/>
      <c r="F40" s="8"/>
      <c r="G40" s="28"/>
      <c r="H40" s="16"/>
      <c r="I40" s="3"/>
    </row>
    <row r="41" spans="1:11">
      <c r="A41" s="14"/>
      <c r="B41" s="15"/>
      <c r="C41" s="15"/>
      <c r="D41" s="17"/>
      <c r="E41" s="18"/>
      <c r="F41" s="17" t="s">
        <v>68</v>
      </c>
      <c r="G41" s="29"/>
      <c r="H41" s="45">
        <f>H11+H14+H17+H23+H27+H31</f>
        <v>3440647.267056</v>
      </c>
      <c r="I41" s="54">
        <f>I11+I14+I17+I23+I27+I31</f>
        <v>4165591.646224699</v>
      </c>
    </row>
    <row r="42" spans="1:11">
      <c r="A42" s="14"/>
      <c r="B42" s="15"/>
      <c r="C42" s="15"/>
      <c r="D42" s="17"/>
      <c r="E42" s="18"/>
      <c r="F42" s="18"/>
      <c r="G42" s="29"/>
      <c r="H42" s="19"/>
      <c r="I42" s="19"/>
    </row>
    <row r="43" spans="1:11">
      <c r="A43" s="2"/>
      <c r="B43" s="2"/>
      <c r="C43" s="2"/>
      <c r="D43" s="2"/>
      <c r="E43" s="2"/>
      <c r="F43" s="2"/>
      <c r="G43" s="10"/>
      <c r="H43" s="2"/>
      <c r="I43" s="2"/>
    </row>
    <row r="44" spans="1:11">
      <c r="A44" s="2"/>
      <c r="B44" s="2"/>
      <c r="C44" s="2"/>
      <c r="D44" s="2"/>
      <c r="E44" s="2"/>
      <c r="F44" s="2"/>
      <c r="G44" s="10"/>
      <c r="H44" s="2"/>
      <c r="I44" s="24"/>
    </row>
    <row r="45" spans="1:11">
      <c r="A45" s="2"/>
      <c r="B45" s="2"/>
      <c r="C45" s="2"/>
      <c r="D45" s="22" t="s">
        <v>69</v>
      </c>
      <c r="E45" s="2"/>
      <c r="F45" s="2"/>
      <c r="G45" s="10"/>
      <c r="H45" s="2"/>
      <c r="I45" s="2"/>
    </row>
    <row r="48" spans="1:11">
      <c r="D48" s="21"/>
    </row>
    <row r="49" spans="4:6">
      <c r="D49" s="23" t="s">
        <v>20</v>
      </c>
      <c r="E49" s="12"/>
      <c r="F49" s="12"/>
    </row>
    <row r="50" spans="4:6">
      <c r="D50" s="23"/>
      <c r="E50" s="12"/>
      <c r="F50" s="12"/>
    </row>
    <row r="51" spans="4:6">
      <c r="D51" s="23"/>
      <c r="E51" s="12"/>
      <c r="F51" s="12"/>
    </row>
  </sheetData>
  <mergeCells count="6">
    <mergeCell ref="D7:I7"/>
    <mergeCell ref="D2:I2"/>
    <mergeCell ref="D3:I3"/>
    <mergeCell ref="D4:I4"/>
    <mergeCell ref="D5:I5"/>
    <mergeCell ref="D6:I6"/>
  </mergeCells>
  <pageMargins left="0.51181102362204722" right="0.51181102362204722" top="0.19685039370078741" bottom="0.59055118110236227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J15" sqref="J15"/>
    </sheetView>
  </sheetViews>
  <sheetFormatPr defaultRowHeight="15"/>
  <cols>
    <col min="1" max="1" width="5" customWidth="1"/>
    <col min="2" max="2" width="26.7109375" customWidth="1"/>
    <col min="3" max="3" width="5.140625" bestFit="1" customWidth="1"/>
    <col min="4" max="4" width="8.7109375" customWidth="1"/>
    <col min="5" max="5" width="6.5703125" customWidth="1"/>
    <col min="6" max="6" width="10" bestFit="1" customWidth="1"/>
    <col min="7" max="7" width="7" customWidth="1"/>
    <col min="8" max="8" width="10" bestFit="1" customWidth="1"/>
    <col min="9" max="9" width="6.85546875" customWidth="1"/>
    <col min="10" max="10" width="11.5703125" bestFit="1" customWidth="1"/>
    <col min="11" max="11" width="11.7109375" bestFit="1" customWidth="1"/>
  </cols>
  <sheetData>
    <row r="1" spans="1:11" ht="15.75" thickBot="1"/>
    <row r="2" spans="1:11">
      <c r="A2" s="30"/>
      <c r="B2" s="201" t="s">
        <v>16</v>
      </c>
      <c r="C2" s="201"/>
      <c r="D2" s="201"/>
      <c r="E2" s="201"/>
      <c r="F2" s="201"/>
      <c r="G2" s="201"/>
      <c r="H2" s="201"/>
      <c r="I2" s="201"/>
      <c r="J2" s="201"/>
      <c r="K2" s="201"/>
    </row>
    <row r="3" spans="1:11">
      <c r="A3" s="119" t="s">
        <v>95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1">
      <c r="A4" s="32"/>
      <c r="B4" s="201" t="s">
        <v>104</v>
      </c>
      <c r="C4" s="201"/>
      <c r="D4" s="201"/>
      <c r="E4" s="201"/>
      <c r="F4" s="201"/>
      <c r="G4" s="201"/>
      <c r="H4" s="201"/>
      <c r="I4" s="201"/>
      <c r="J4" s="201"/>
      <c r="K4" s="201"/>
    </row>
    <row r="5" spans="1:11">
      <c r="A5" s="32"/>
      <c r="B5" s="201" t="s">
        <v>17</v>
      </c>
      <c r="C5" s="201"/>
      <c r="D5" s="201"/>
      <c r="E5" s="201"/>
      <c r="F5" s="201"/>
      <c r="G5" s="201"/>
      <c r="H5" s="201"/>
      <c r="I5" s="201"/>
      <c r="J5" s="201"/>
      <c r="K5" s="201"/>
    </row>
    <row r="6" spans="1:11">
      <c r="A6" s="32"/>
      <c r="B6" s="201" t="s">
        <v>18</v>
      </c>
      <c r="C6" s="201"/>
      <c r="D6" s="201"/>
      <c r="E6" s="201"/>
      <c r="F6" s="201"/>
      <c r="G6" s="201"/>
      <c r="H6" s="201"/>
      <c r="I6" s="201"/>
      <c r="J6" s="201"/>
      <c r="K6" s="201"/>
    </row>
    <row r="7" spans="1:11" ht="15.75" thickBot="1">
      <c r="A7" s="34"/>
      <c r="B7" s="201" t="s">
        <v>19</v>
      </c>
      <c r="C7" s="201"/>
      <c r="D7" s="201"/>
      <c r="E7" s="201"/>
      <c r="F7" s="201"/>
      <c r="G7" s="201"/>
      <c r="H7" s="201"/>
      <c r="I7" s="201"/>
      <c r="J7" s="201"/>
      <c r="K7" s="201"/>
    </row>
    <row r="8" spans="1:11">
      <c r="A8" s="203" t="s">
        <v>144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</row>
    <row r="9" spans="1:11" ht="15.75" thickBot="1">
      <c r="A9" s="203" t="s">
        <v>96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</row>
    <row r="10" spans="1:11" ht="15.75" thickTop="1">
      <c r="A10" s="98" t="s">
        <v>0</v>
      </c>
      <c r="B10" s="99" t="s">
        <v>70</v>
      </c>
      <c r="C10" s="204" t="s">
        <v>97</v>
      </c>
      <c r="D10" s="204"/>
      <c r="E10" s="204" t="s">
        <v>98</v>
      </c>
      <c r="F10" s="204"/>
      <c r="G10" s="204" t="s">
        <v>99</v>
      </c>
      <c r="H10" s="204"/>
      <c r="I10" s="204" t="s">
        <v>100</v>
      </c>
      <c r="J10" s="204"/>
      <c r="K10" s="100" t="s">
        <v>6</v>
      </c>
    </row>
    <row r="11" spans="1:11">
      <c r="A11" s="101"/>
      <c r="B11" s="102"/>
      <c r="C11" s="13" t="s">
        <v>101</v>
      </c>
      <c r="D11" s="13" t="s">
        <v>102</v>
      </c>
      <c r="E11" s="13" t="s">
        <v>101</v>
      </c>
      <c r="F11" s="13" t="s">
        <v>102</v>
      </c>
      <c r="G11" s="13" t="s">
        <v>101</v>
      </c>
      <c r="H11" s="13" t="s">
        <v>102</v>
      </c>
      <c r="I11" s="13" t="s">
        <v>101</v>
      </c>
      <c r="J11" s="13" t="s">
        <v>102</v>
      </c>
      <c r="K11" s="115"/>
    </row>
    <row r="12" spans="1:11">
      <c r="A12" s="103">
        <v>1</v>
      </c>
      <c r="B12" s="104" t="s">
        <v>26</v>
      </c>
      <c r="C12" s="5">
        <f>100</f>
        <v>100</v>
      </c>
      <c r="D12" s="105">
        <f>ASFALTOCBUQ!J11</f>
        <v>59866.96</v>
      </c>
      <c r="E12" s="5"/>
      <c r="F12" s="5"/>
      <c r="G12" s="5"/>
      <c r="H12" s="5"/>
      <c r="I12" s="5"/>
      <c r="J12" s="5"/>
      <c r="K12" s="116">
        <f>D12</f>
        <v>59866.96</v>
      </c>
    </row>
    <row r="13" spans="1:11">
      <c r="A13" s="103">
        <v>2</v>
      </c>
      <c r="B13" s="117" t="s">
        <v>92</v>
      </c>
      <c r="C13" s="5"/>
      <c r="D13" s="5"/>
      <c r="E13" s="5">
        <v>50</v>
      </c>
      <c r="F13" s="105">
        <f>(ASFALTOCBUQ!J15)*0.5</f>
        <v>804832.71499999985</v>
      </c>
      <c r="G13" s="5">
        <v>50</v>
      </c>
      <c r="H13" s="105">
        <f>(ASFALTOCBUQ!J15)*0.5</f>
        <v>804832.71499999985</v>
      </c>
      <c r="I13" s="5"/>
      <c r="J13" s="105"/>
      <c r="K13" s="116">
        <f>F13+H13</f>
        <v>1609665.4299999997</v>
      </c>
    </row>
    <row r="14" spans="1:11" ht="15.75" thickBot="1">
      <c r="A14" s="103">
        <v>3</v>
      </c>
      <c r="B14" s="117" t="s">
        <v>85</v>
      </c>
      <c r="C14" s="5"/>
      <c r="D14" s="5"/>
      <c r="E14" s="5"/>
      <c r="F14" s="105"/>
      <c r="G14" s="5"/>
      <c r="H14" s="106"/>
      <c r="I14" s="5">
        <v>100</v>
      </c>
      <c r="J14" s="106">
        <f>ASFALTOCBUQ!J32</f>
        <v>142146.46000000002</v>
      </c>
      <c r="K14" s="116">
        <f>J14</f>
        <v>142146.46000000002</v>
      </c>
    </row>
    <row r="15" spans="1:11">
      <c r="A15" s="2"/>
      <c r="B15" s="107" t="s">
        <v>71</v>
      </c>
      <c r="C15" s="108">
        <f>D15/$K$16</f>
        <v>3.3045017884930326E-2</v>
      </c>
      <c r="D15" s="109">
        <f>SUM(D12:D14)</f>
        <v>59866.96</v>
      </c>
      <c r="E15" s="108">
        <f>F15/$K$16</f>
        <v>0.44424690115469417</v>
      </c>
      <c r="F15" s="109">
        <f>SUM(F12:F14)</f>
        <v>804832.71499999985</v>
      </c>
      <c r="G15" s="108">
        <f>H15/$K$16</f>
        <v>0.44424690115469417</v>
      </c>
      <c r="H15" s="109">
        <f>SUM(H12:H14)</f>
        <v>804832.71499999985</v>
      </c>
      <c r="I15" s="108">
        <f>J15/$K$16</f>
        <v>7.8461179805681375E-2</v>
      </c>
      <c r="J15" s="109">
        <f>SUM(J12:J14)</f>
        <v>142146.46000000002</v>
      </c>
      <c r="K15" s="110"/>
    </row>
    <row r="16" spans="1:11" ht="15.75" thickBot="1">
      <c r="A16" s="2"/>
      <c r="B16" s="111" t="s">
        <v>103</v>
      </c>
      <c r="C16" s="112">
        <f>C15</f>
        <v>3.3045017884930326E-2</v>
      </c>
      <c r="D16" s="113">
        <f>D15</f>
        <v>59866.96</v>
      </c>
      <c r="E16" s="112">
        <f>C15+E15</f>
        <v>0.47729191903962448</v>
      </c>
      <c r="F16" s="113">
        <f>D16+F15</f>
        <v>864699.67499999981</v>
      </c>
      <c r="G16" s="112">
        <f>E16+G15</f>
        <v>0.92153882019431865</v>
      </c>
      <c r="H16" s="113">
        <f>F16+H15</f>
        <v>1669532.3899999997</v>
      </c>
      <c r="I16" s="112">
        <f>G16+I15</f>
        <v>1</v>
      </c>
      <c r="J16" s="113">
        <f>H16+J15</f>
        <v>1811678.8499999996</v>
      </c>
      <c r="K16" s="114">
        <f>SUM(K12:K15)</f>
        <v>1811678.8499999996</v>
      </c>
    </row>
    <row r="17" ht="15.75" thickTop="1"/>
  </sheetData>
  <mergeCells count="11">
    <mergeCell ref="B2:K2"/>
    <mergeCell ref="B4:K4"/>
    <mergeCell ref="B5:K5"/>
    <mergeCell ref="B6:K6"/>
    <mergeCell ref="B7:K7"/>
    <mergeCell ref="A8:K8"/>
    <mergeCell ref="A9:K9"/>
    <mergeCell ref="I10:J10"/>
    <mergeCell ref="C10:D10"/>
    <mergeCell ref="E10:F10"/>
    <mergeCell ref="G10:H10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7"/>
  <sheetViews>
    <sheetView tabSelected="1" topLeftCell="A28" workbookViewId="0">
      <selection activeCell="N44" sqref="N44"/>
    </sheetView>
  </sheetViews>
  <sheetFormatPr defaultRowHeight="15"/>
  <cols>
    <col min="4" max="4" width="43" customWidth="1"/>
    <col min="9" max="9" width="10.85546875" bestFit="1" customWidth="1"/>
    <col min="10" max="10" width="12.85546875" bestFit="1" customWidth="1"/>
    <col min="11" max="12" width="0" hidden="1" customWidth="1"/>
    <col min="15" max="15" width="15.85546875" bestFit="1" customWidth="1"/>
  </cols>
  <sheetData>
    <row r="1" spans="1:10" s="12" customFormat="1" ht="12.75" thickTop="1">
      <c r="A1" s="120"/>
      <c r="B1" s="121"/>
      <c r="C1" s="121"/>
      <c r="D1" s="207" t="s">
        <v>16</v>
      </c>
      <c r="E1" s="207"/>
      <c r="F1" s="207"/>
      <c r="G1" s="207"/>
      <c r="H1" s="207"/>
      <c r="I1" s="207"/>
      <c r="J1" s="208"/>
    </row>
    <row r="2" spans="1:10" s="12" customFormat="1" ht="12">
      <c r="A2" s="122"/>
      <c r="B2" s="123"/>
      <c r="C2" s="123"/>
      <c r="D2" s="209" t="s">
        <v>91</v>
      </c>
      <c r="E2" s="209"/>
      <c r="F2" s="209"/>
      <c r="G2" s="209"/>
      <c r="H2" s="209"/>
      <c r="I2" s="209"/>
      <c r="J2" s="210"/>
    </row>
    <row r="3" spans="1:10" s="12" customFormat="1" ht="12">
      <c r="A3" s="122"/>
      <c r="B3" s="123"/>
      <c r="C3" s="123"/>
      <c r="D3" s="209" t="s">
        <v>25</v>
      </c>
      <c r="E3" s="209"/>
      <c r="F3" s="209"/>
      <c r="G3" s="209"/>
      <c r="H3" s="209"/>
      <c r="I3" s="209"/>
      <c r="J3" s="210"/>
    </row>
    <row r="4" spans="1:10" s="12" customFormat="1" ht="12">
      <c r="A4" s="122"/>
      <c r="B4" s="123"/>
      <c r="C4" s="123"/>
      <c r="D4" s="211" t="s">
        <v>17</v>
      </c>
      <c r="E4" s="211"/>
      <c r="F4" s="211"/>
      <c r="G4" s="211"/>
      <c r="H4" s="211"/>
      <c r="I4" s="211"/>
      <c r="J4" s="212"/>
    </row>
    <row r="5" spans="1:10" s="12" customFormat="1" ht="12">
      <c r="A5" s="122"/>
      <c r="B5" s="123"/>
      <c r="C5" s="123"/>
      <c r="D5" s="211" t="s">
        <v>18</v>
      </c>
      <c r="E5" s="211"/>
      <c r="F5" s="211"/>
      <c r="G5" s="211"/>
      <c r="H5" s="211"/>
      <c r="I5" s="211"/>
      <c r="J5" s="212"/>
    </row>
    <row r="6" spans="1:10" s="12" customFormat="1" ht="12">
      <c r="A6" s="124"/>
      <c r="B6" s="125"/>
      <c r="C6" s="125"/>
      <c r="D6" s="205" t="s">
        <v>19</v>
      </c>
      <c r="E6" s="205"/>
      <c r="F6" s="205"/>
      <c r="G6" s="205"/>
      <c r="H6" s="205"/>
      <c r="I6" s="205"/>
      <c r="J6" s="206"/>
    </row>
    <row r="7" spans="1:10" s="12" customFormat="1" ht="12">
      <c r="A7" s="220" t="s">
        <v>143</v>
      </c>
      <c r="B7" s="221"/>
      <c r="C7" s="221"/>
      <c r="D7" s="221"/>
      <c r="E7" s="221"/>
      <c r="F7" s="221"/>
      <c r="G7" s="221"/>
      <c r="H7" s="222"/>
      <c r="I7" s="126" t="s">
        <v>72</v>
      </c>
      <c r="J7" s="127">
        <v>0.2107</v>
      </c>
    </row>
    <row r="8" spans="1:10">
      <c r="A8" s="223" t="s">
        <v>73</v>
      </c>
      <c r="B8" s="224"/>
      <c r="C8" s="224"/>
      <c r="D8" s="224"/>
      <c r="E8" s="224"/>
      <c r="F8" s="224"/>
      <c r="G8" s="224"/>
      <c r="H8" s="224"/>
      <c r="I8" s="224"/>
      <c r="J8" s="225"/>
    </row>
    <row r="9" spans="1:10">
      <c r="A9" s="226" t="s">
        <v>0</v>
      </c>
      <c r="B9" s="227" t="s">
        <v>1</v>
      </c>
      <c r="C9" s="227" t="s">
        <v>2</v>
      </c>
      <c r="D9" s="227" t="s">
        <v>70</v>
      </c>
      <c r="E9" s="227" t="s">
        <v>3</v>
      </c>
      <c r="F9" s="227" t="s">
        <v>4</v>
      </c>
      <c r="G9" s="227" t="s">
        <v>76</v>
      </c>
      <c r="H9" s="227"/>
      <c r="I9" s="227" t="s">
        <v>71</v>
      </c>
      <c r="J9" s="213" t="s">
        <v>77</v>
      </c>
    </row>
    <row r="10" spans="1:10">
      <c r="A10" s="226"/>
      <c r="B10" s="227"/>
      <c r="C10" s="227"/>
      <c r="D10" s="227"/>
      <c r="E10" s="227"/>
      <c r="F10" s="227"/>
      <c r="G10" s="71" t="s">
        <v>78</v>
      </c>
      <c r="H10" s="71" t="s">
        <v>79</v>
      </c>
      <c r="I10" s="227"/>
      <c r="J10" s="213"/>
    </row>
    <row r="11" spans="1:10">
      <c r="A11" s="72">
        <v>1</v>
      </c>
      <c r="B11" s="73"/>
      <c r="C11" s="73"/>
      <c r="D11" s="74" t="s">
        <v>26</v>
      </c>
      <c r="E11" s="73"/>
      <c r="F11" s="75"/>
      <c r="G11" s="75"/>
      <c r="H11" s="75"/>
      <c r="I11" s="76"/>
      <c r="J11" s="77">
        <f>SUM(I12:I13)</f>
        <v>59866.96</v>
      </c>
    </row>
    <row r="12" spans="1:10" ht="22.5">
      <c r="A12" s="78" t="s">
        <v>8</v>
      </c>
      <c r="B12" s="79">
        <v>4813</v>
      </c>
      <c r="C12" s="41" t="s">
        <v>9</v>
      </c>
      <c r="D12" s="58" t="s">
        <v>75</v>
      </c>
      <c r="E12" s="41" t="s">
        <v>23</v>
      </c>
      <c r="F12" s="90">
        <f>2*4</f>
        <v>8</v>
      </c>
      <c r="G12" s="187">
        <v>320</v>
      </c>
      <c r="H12" s="80">
        <f>TRUNC(G12*(1+$J$7),2)</f>
        <v>387.42</v>
      </c>
      <c r="I12" s="80">
        <f>ROUND(F12*H12,2)</f>
        <v>3099.36</v>
      </c>
      <c r="J12" s="81"/>
    </row>
    <row r="13" spans="1:10" ht="22.5">
      <c r="A13" s="78" t="s">
        <v>90</v>
      </c>
      <c r="B13" s="79">
        <v>101827</v>
      </c>
      <c r="C13" s="41" t="s">
        <v>9</v>
      </c>
      <c r="D13" s="58" t="s">
        <v>156</v>
      </c>
      <c r="E13" s="41" t="s">
        <v>10</v>
      </c>
      <c r="F13" s="90">
        <f>ROUND(F17*0.01,2)</f>
        <v>315.99</v>
      </c>
      <c r="G13" s="187">
        <v>148.38999999999999</v>
      </c>
      <c r="H13" s="80">
        <f>TRUNC(G13*(1+$J$7),2)</f>
        <v>179.65</v>
      </c>
      <c r="I13" s="80">
        <f>ROUND(F13*H13,2)</f>
        <v>56767.6</v>
      </c>
      <c r="J13" s="81"/>
    </row>
    <row r="14" spans="1:10">
      <c r="A14" s="82"/>
      <c r="B14" s="83"/>
      <c r="C14" s="41"/>
      <c r="D14" s="58"/>
      <c r="E14" s="41"/>
      <c r="F14" s="84"/>
      <c r="G14" s="84"/>
      <c r="H14" s="80"/>
      <c r="I14" s="80"/>
      <c r="J14" s="81"/>
    </row>
    <row r="15" spans="1:10">
      <c r="A15" s="189">
        <v>2</v>
      </c>
      <c r="B15" s="190"/>
      <c r="C15" s="191"/>
      <c r="D15" s="196" t="s">
        <v>92</v>
      </c>
      <c r="E15" s="191"/>
      <c r="F15" s="192"/>
      <c r="G15" s="192"/>
      <c r="H15" s="193"/>
      <c r="I15" s="193"/>
      <c r="J15" s="195">
        <f>SUM(J16+J22)</f>
        <v>1609665.4299999997</v>
      </c>
    </row>
    <row r="16" spans="1:10" s="62" customFormat="1">
      <c r="A16" s="63" t="s">
        <v>35</v>
      </c>
      <c r="B16" s="60"/>
      <c r="C16" s="60"/>
      <c r="D16" s="61" t="s">
        <v>157</v>
      </c>
      <c r="E16" s="60"/>
      <c r="F16" s="92"/>
      <c r="G16" s="92"/>
      <c r="H16" s="65"/>
      <c r="I16" s="66"/>
      <c r="J16" s="69">
        <f>SUM(I17:I21)</f>
        <v>1575356.9499999997</v>
      </c>
    </row>
    <row r="17" spans="1:15" s="56" customFormat="1">
      <c r="A17" s="57" t="s">
        <v>158</v>
      </c>
      <c r="B17" s="57">
        <v>560400</v>
      </c>
      <c r="C17" s="57" t="s">
        <v>29</v>
      </c>
      <c r="D17" s="59" t="s">
        <v>93</v>
      </c>
      <c r="E17" s="57" t="s">
        <v>23</v>
      </c>
      <c r="F17" s="91">
        <f>F19</f>
        <v>31599.34</v>
      </c>
      <c r="G17" s="188">
        <v>0.33</v>
      </c>
      <c r="H17" s="67">
        <f t="shared" ref="H17:H21" si="0">TRUNC(G17*(1+$J$7),2)</f>
        <v>0.39</v>
      </c>
      <c r="I17" s="67">
        <f t="shared" ref="I17:I21" si="1">ROUND(F17*H17,2)</f>
        <v>12323.74</v>
      </c>
      <c r="J17" s="70"/>
    </row>
    <row r="18" spans="1:15" s="56" customFormat="1">
      <c r="A18" s="57" t="s">
        <v>159</v>
      </c>
      <c r="B18" s="57">
        <v>589100</v>
      </c>
      <c r="C18" s="57" t="s">
        <v>29</v>
      </c>
      <c r="D18" s="59" t="s">
        <v>94</v>
      </c>
      <c r="E18" s="57" t="s">
        <v>83</v>
      </c>
      <c r="F18" s="91">
        <f>ROUND(F19*0.0012,2)</f>
        <v>37.92</v>
      </c>
      <c r="G18" s="188">
        <v>5022.5</v>
      </c>
      <c r="H18" s="67">
        <f t="shared" si="0"/>
        <v>6080.74</v>
      </c>
      <c r="I18" s="67">
        <f t="shared" si="1"/>
        <v>230581.66</v>
      </c>
      <c r="J18" s="70"/>
    </row>
    <row r="19" spans="1:15" s="56" customFormat="1" ht="22.5">
      <c r="A19" s="57" t="s">
        <v>160</v>
      </c>
      <c r="B19" s="57">
        <v>96402</v>
      </c>
      <c r="C19" s="57" t="s">
        <v>9</v>
      </c>
      <c r="D19" s="59" t="s">
        <v>80</v>
      </c>
      <c r="E19" s="57" t="s">
        <v>23</v>
      </c>
      <c r="F19" s="91">
        <v>31599.34</v>
      </c>
      <c r="G19" s="188">
        <v>1.97</v>
      </c>
      <c r="H19" s="67">
        <f t="shared" si="0"/>
        <v>2.38</v>
      </c>
      <c r="I19" s="67">
        <f t="shared" si="1"/>
        <v>75206.429999999993</v>
      </c>
      <c r="J19" s="70"/>
    </row>
    <row r="20" spans="1:15" s="56" customFormat="1" ht="33.75">
      <c r="A20" s="57" t="s">
        <v>161</v>
      </c>
      <c r="B20" s="57">
        <v>95995</v>
      </c>
      <c r="C20" s="57" t="s">
        <v>9</v>
      </c>
      <c r="D20" s="59" t="s">
        <v>81</v>
      </c>
      <c r="E20" s="57" t="s">
        <v>10</v>
      </c>
      <c r="F20" s="68">
        <f>ROUND(F19*0.03,2)</f>
        <v>947.98</v>
      </c>
      <c r="G20" s="188">
        <v>1017.45</v>
      </c>
      <c r="H20" s="67">
        <f t="shared" si="0"/>
        <v>1231.82</v>
      </c>
      <c r="I20" s="67">
        <f t="shared" si="1"/>
        <v>1167740.72</v>
      </c>
      <c r="J20" s="70"/>
      <c r="O20" s="194"/>
    </row>
    <row r="21" spans="1:15" s="56" customFormat="1" ht="18">
      <c r="A21" s="57" t="s">
        <v>162</v>
      </c>
      <c r="B21" s="57">
        <v>973000</v>
      </c>
      <c r="C21" s="57" t="s">
        <v>29</v>
      </c>
      <c r="D21" s="59" t="s">
        <v>82</v>
      </c>
      <c r="E21" s="57" t="s">
        <v>83</v>
      </c>
      <c r="F21" s="68">
        <f>ROUND(F20*2.4,2)</f>
        <v>2275.15</v>
      </c>
      <c r="G21" s="188">
        <v>32.5</v>
      </c>
      <c r="H21" s="67">
        <f t="shared" si="0"/>
        <v>39.340000000000003</v>
      </c>
      <c r="I21" s="67">
        <f t="shared" si="1"/>
        <v>89504.4</v>
      </c>
      <c r="J21" s="70"/>
      <c r="K21" s="56" t="s">
        <v>84</v>
      </c>
      <c r="L21" s="89">
        <f>0.55*40 + 0.66*0</f>
        <v>22</v>
      </c>
    </row>
    <row r="22" spans="1:15" s="62" customFormat="1" ht="56.25">
      <c r="A22" s="63" t="s">
        <v>74</v>
      </c>
      <c r="B22" s="60"/>
      <c r="C22" s="60"/>
      <c r="D22" s="74" t="s">
        <v>138</v>
      </c>
      <c r="E22" s="60"/>
      <c r="F22" s="92"/>
      <c r="G22" s="92"/>
      <c r="H22" s="65"/>
      <c r="I22" s="66"/>
      <c r="J22" s="69">
        <f>SUM(I23:I30)</f>
        <v>34308.480000000003</v>
      </c>
    </row>
    <row r="23" spans="1:15" s="56" customFormat="1" ht="22.5">
      <c r="A23" s="64" t="s">
        <v>163</v>
      </c>
      <c r="B23" s="57" t="s">
        <v>139</v>
      </c>
      <c r="C23" s="57" t="s">
        <v>145</v>
      </c>
      <c r="D23" s="59" t="s">
        <v>147</v>
      </c>
      <c r="E23" s="57" t="s">
        <v>155</v>
      </c>
      <c r="F23" s="91">
        <v>32</v>
      </c>
      <c r="G23" s="188">
        <v>67.36</v>
      </c>
      <c r="H23" s="67">
        <f t="shared" ref="H23:H27" si="2">TRUNC(G23*(1+$J$7),2)</f>
        <v>81.55</v>
      </c>
      <c r="I23" s="67">
        <f t="shared" ref="I23:I27" si="3">ROUND(F23*H23,2)</f>
        <v>2609.6</v>
      </c>
      <c r="J23" s="70"/>
    </row>
    <row r="24" spans="1:15" s="56" customFormat="1" ht="22.5">
      <c r="A24" s="64" t="s">
        <v>164</v>
      </c>
      <c r="B24" s="57" t="s">
        <v>139</v>
      </c>
      <c r="C24" s="57" t="s">
        <v>145</v>
      </c>
      <c r="D24" s="59" t="s">
        <v>148</v>
      </c>
      <c r="E24" s="57" t="s">
        <v>155</v>
      </c>
      <c r="F24" s="91">
        <v>32</v>
      </c>
      <c r="G24" s="188">
        <v>67.36</v>
      </c>
      <c r="H24" s="67">
        <f t="shared" si="2"/>
        <v>81.55</v>
      </c>
      <c r="I24" s="67">
        <f t="shared" si="3"/>
        <v>2609.6</v>
      </c>
      <c r="J24" s="70"/>
    </row>
    <row r="25" spans="1:15" s="56" customFormat="1" ht="33.75">
      <c r="A25" s="64" t="s">
        <v>165</v>
      </c>
      <c r="B25" s="57" t="s">
        <v>139</v>
      </c>
      <c r="C25" s="57" t="s">
        <v>145</v>
      </c>
      <c r="D25" s="59" t="s">
        <v>149</v>
      </c>
      <c r="E25" s="57" t="s">
        <v>155</v>
      </c>
      <c r="F25" s="91">
        <v>32</v>
      </c>
      <c r="G25" s="188">
        <v>67.36</v>
      </c>
      <c r="H25" s="67">
        <f t="shared" si="2"/>
        <v>81.55</v>
      </c>
      <c r="I25" s="67">
        <f t="shared" si="3"/>
        <v>2609.6</v>
      </c>
      <c r="J25" s="70"/>
    </row>
    <row r="26" spans="1:15" s="56" customFormat="1">
      <c r="A26" s="64" t="s">
        <v>166</v>
      </c>
      <c r="B26" s="57" t="s">
        <v>48</v>
      </c>
      <c r="C26" s="57" t="s">
        <v>145</v>
      </c>
      <c r="D26" s="59" t="s">
        <v>150</v>
      </c>
      <c r="E26" s="57" t="s">
        <v>155</v>
      </c>
      <c r="F26" s="91">
        <v>32</v>
      </c>
      <c r="G26" s="188">
        <v>131.31</v>
      </c>
      <c r="H26" s="67">
        <f t="shared" si="2"/>
        <v>158.97</v>
      </c>
      <c r="I26" s="67">
        <f t="shared" si="3"/>
        <v>5087.04</v>
      </c>
      <c r="J26" s="70"/>
    </row>
    <row r="27" spans="1:15" s="56" customFormat="1" ht="18">
      <c r="A27" s="64" t="s">
        <v>167</v>
      </c>
      <c r="B27" s="57" t="s">
        <v>140</v>
      </c>
      <c r="C27" s="57" t="s">
        <v>145</v>
      </c>
      <c r="D27" s="59" t="s">
        <v>151</v>
      </c>
      <c r="E27" s="57" t="s">
        <v>155</v>
      </c>
      <c r="F27" s="68">
        <v>48</v>
      </c>
      <c r="G27" s="188">
        <v>146.93</v>
      </c>
      <c r="H27" s="67">
        <f t="shared" si="2"/>
        <v>177.88</v>
      </c>
      <c r="I27" s="67">
        <f t="shared" si="3"/>
        <v>8538.24</v>
      </c>
      <c r="J27" s="70"/>
      <c r="K27" s="56" t="s">
        <v>84</v>
      </c>
      <c r="L27" s="89">
        <f>0.55*40 + 0.66*0</f>
        <v>22</v>
      </c>
    </row>
    <row r="28" spans="1:15" s="56" customFormat="1" ht="22.5">
      <c r="A28" s="64" t="s">
        <v>168</v>
      </c>
      <c r="B28" s="57" t="s">
        <v>141</v>
      </c>
      <c r="C28" s="57" t="s">
        <v>146</v>
      </c>
      <c r="D28" s="59" t="s">
        <v>152</v>
      </c>
      <c r="E28" s="57" t="s">
        <v>155</v>
      </c>
      <c r="F28" s="68">
        <v>48</v>
      </c>
      <c r="G28" s="188">
        <v>85.16</v>
      </c>
      <c r="H28" s="67">
        <f t="shared" ref="H28:H30" si="4">TRUNC(G28*(1+$J$7),2)</f>
        <v>103.1</v>
      </c>
      <c r="I28" s="67">
        <f t="shared" ref="I28:I30" si="5">ROUND(F28*H28,2)</f>
        <v>4948.8</v>
      </c>
      <c r="J28" s="70"/>
    </row>
    <row r="29" spans="1:15" s="56" customFormat="1">
      <c r="A29" s="64" t="s">
        <v>169</v>
      </c>
      <c r="B29" s="57" t="s">
        <v>142</v>
      </c>
      <c r="C29" s="57" t="s">
        <v>146</v>
      </c>
      <c r="D29" s="59" t="s">
        <v>153</v>
      </c>
      <c r="E29" s="57" t="s">
        <v>155</v>
      </c>
      <c r="F29" s="68">
        <v>48</v>
      </c>
      <c r="G29" s="188">
        <v>69.400000000000006</v>
      </c>
      <c r="H29" s="67">
        <f t="shared" si="4"/>
        <v>84.02</v>
      </c>
      <c r="I29" s="67">
        <f t="shared" si="5"/>
        <v>4032.96</v>
      </c>
      <c r="J29" s="70"/>
    </row>
    <row r="30" spans="1:15" s="56" customFormat="1" ht="22.5">
      <c r="A30" s="64" t="s">
        <v>170</v>
      </c>
      <c r="B30" s="57"/>
      <c r="C30" s="57" t="s">
        <v>145</v>
      </c>
      <c r="D30" s="59" t="s">
        <v>154</v>
      </c>
      <c r="E30" s="57" t="s">
        <v>155</v>
      </c>
      <c r="F30" s="68">
        <v>48</v>
      </c>
      <c r="G30" s="188">
        <v>66.64</v>
      </c>
      <c r="H30" s="67">
        <f t="shared" si="4"/>
        <v>80.680000000000007</v>
      </c>
      <c r="I30" s="67">
        <f t="shared" si="5"/>
        <v>3872.64</v>
      </c>
      <c r="J30" s="70"/>
    </row>
    <row r="31" spans="1:15">
      <c r="A31" s="82"/>
      <c r="B31" s="83"/>
      <c r="C31" s="41"/>
      <c r="D31" s="85"/>
      <c r="E31" s="41"/>
      <c r="F31" s="84"/>
      <c r="G31" s="84"/>
      <c r="H31" s="80"/>
      <c r="I31" s="86"/>
      <c r="J31" s="87"/>
    </row>
    <row r="32" spans="1:15" s="62" customFormat="1">
      <c r="A32" s="63">
        <v>3</v>
      </c>
      <c r="B32" s="94"/>
      <c r="C32" s="60"/>
      <c r="D32" s="61" t="s">
        <v>85</v>
      </c>
      <c r="E32" s="60"/>
      <c r="F32" s="92"/>
      <c r="G32" s="92"/>
      <c r="H32" s="65"/>
      <c r="I32" s="66"/>
      <c r="J32" s="69">
        <f>SUM(I33:I34)</f>
        <v>142146.46000000002</v>
      </c>
    </row>
    <row r="33" spans="1:11" s="62" customFormat="1" ht="22.5">
      <c r="A33" s="64" t="s">
        <v>36</v>
      </c>
      <c r="B33" s="57">
        <v>562620</v>
      </c>
      <c r="C33" s="57" t="s">
        <v>29</v>
      </c>
      <c r="D33" s="59" t="s">
        <v>86</v>
      </c>
      <c r="E33" s="57" t="s">
        <v>23</v>
      </c>
      <c r="F33" s="91">
        <v>8475</v>
      </c>
      <c r="G33" s="188">
        <v>3.97</v>
      </c>
      <c r="H33" s="67">
        <f t="shared" ref="H33:H34" si="6">TRUNC(G33*(1+$J$7),2)</f>
        <v>4.8</v>
      </c>
      <c r="I33" s="67">
        <f>ROUND(F33*H33,2)</f>
        <v>40680</v>
      </c>
      <c r="J33" s="70"/>
    </row>
    <row r="34" spans="1:11" s="62" customFormat="1">
      <c r="A34" s="64" t="s">
        <v>37</v>
      </c>
      <c r="B34" s="57">
        <v>589180</v>
      </c>
      <c r="C34" s="57" t="s">
        <v>29</v>
      </c>
      <c r="D34" s="59" t="s">
        <v>87</v>
      </c>
      <c r="E34" s="57" t="s">
        <v>88</v>
      </c>
      <c r="F34" s="91">
        <f>ROUND(F33*0.003,2)</f>
        <v>25.43</v>
      </c>
      <c r="G34" s="188">
        <v>3295.64</v>
      </c>
      <c r="H34" s="67">
        <f t="shared" si="6"/>
        <v>3990.03</v>
      </c>
      <c r="I34" s="67">
        <f>ROUND(F34*H34,2)</f>
        <v>101466.46</v>
      </c>
      <c r="J34" s="70"/>
    </row>
    <row r="35" spans="1:11" s="56" customFormat="1" ht="9.9499999999999993" customHeight="1">
      <c r="A35" s="95"/>
      <c r="B35" s="96"/>
      <c r="C35" s="97"/>
      <c r="D35" s="58"/>
      <c r="E35" s="41"/>
      <c r="F35" s="93"/>
      <c r="G35" s="93"/>
      <c r="H35" s="67"/>
      <c r="I35" s="67"/>
      <c r="J35" s="70"/>
      <c r="K35" s="56" t="s">
        <v>89</v>
      </c>
    </row>
    <row r="36" spans="1:11" ht="15.75" thickBot="1">
      <c r="A36" s="88"/>
      <c r="B36" s="214" t="s">
        <v>68</v>
      </c>
      <c r="C36" s="215"/>
      <c r="D36" s="215"/>
      <c r="E36" s="215"/>
      <c r="F36" s="215"/>
      <c r="G36" s="215"/>
      <c r="H36" s="216"/>
      <c r="I36" s="217">
        <f>J11+J15+J32</f>
        <v>1811678.8499999996</v>
      </c>
      <c r="J36" s="218"/>
    </row>
    <row r="37" spans="1:11" ht="15.75" thickTop="1">
      <c r="A37" s="219" t="s">
        <v>171</v>
      </c>
      <c r="B37" s="219"/>
      <c r="C37" s="219"/>
      <c r="D37" s="219"/>
      <c r="E37" s="219"/>
      <c r="F37" s="219"/>
      <c r="G37" s="219"/>
      <c r="H37" s="219"/>
      <c r="I37" s="219"/>
      <c r="J37" s="219"/>
    </row>
  </sheetData>
  <mergeCells count="20">
    <mergeCell ref="J9:J10"/>
    <mergeCell ref="B36:H36"/>
    <mergeCell ref="I36:J36"/>
    <mergeCell ref="A37:J37"/>
    <mergeCell ref="A7:H7"/>
    <mergeCell ref="A8:J8"/>
    <mergeCell ref="A9:A10"/>
    <mergeCell ref="B9:B10"/>
    <mergeCell ref="C9:C10"/>
    <mergeCell ref="D9:D10"/>
    <mergeCell ref="E9:E10"/>
    <mergeCell ref="F9:F10"/>
    <mergeCell ref="G9:H9"/>
    <mergeCell ref="I9:I10"/>
    <mergeCell ref="D6:J6"/>
    <mergeCell ref="D1:J1"/>
    <mergeCell ref="D2:J2"/>
    <mergeCell ref="D3:J3"/>
    <mergeCell ref="D4:J4"/>
    <mergeCell ref="D5:J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29"/>
  <sheetViews>
    <sheetView workbookViewId="0">
      <selection activeCell="AQ20" sqref="AQ20"/>
    </sheetView>
  </sheetViews>
  <sheetFormatPr defaultRowHeight="15"/>
  <cols>
    <col min="1" max="1" width="6.85546875" customWidth="1"/>
    <col min="3" max="3" width="6.140625" customWidth="1"/>
    <col min="4" max="4" width="1.140625" customWidth="1"/>
    <col min="5" max="5" width="1.28515625" customWidth="1"/>
    <col min="6" max="6" width="1.140625" hidden="1" customWidth="1"/>
    <col min="7" max="7" width="4.140625" hidden="1" customWidth="1"/>
    <col min="8" max="8" width="0.140625" customWidth="1"/>
    <col min="9" max="9" width="9.140625" hidden="1" customWidth="1"/>
    <col min="10" max="10" width="5.140625" customWidth="1"/>
    <col min="11" max="11" width="6" customWidth="1"/>
    <col min="12" max="12" width="2.42578125" customWidth="1"/>
    <col min="13" max="13" width="6.5703125" customWidth="1"/>
    <col min="14" max="14" width="4.28515625" customWidth="1"/>
    <col min="15" max="15" width="5" customWidth="1"/>
    <col min="16" max="16" width="5.7109375" customWidth="1"/>
    <col min="17" max="17" width="5" customWidth="1"/>
    <col min="18" max="18" width="4.42578125" customWidth="1"/>
    <col min="19" max="19" width="0.85546875" customWidth="1"/>
    <col min="20" max="20" width="1" customWidth="1"/>
    <col min="21" max="21" width="9.140625" hidden="1" customWidth="1"/>
    <col min="22" max="22" width="9.140625" customWidth="1"/>
    <col min="23" max="23" width="9.140625" hidden="1" customWidth="1"/>
    <col min="24" max="24" width="1.28515625" customWidth="1"/>
    <col min="27" max="27" width="6.42578125" customWidth="1"/>
    <col min="29" max="29" width="2.85546875" customWidth="1"/>
    <col min="30" max="31" width="9.140625" hidden="1" customWidth="1"/>
    <col min="32" max="33" width="0.140625" customWidth="1"/>
    <col min="34" max="34" width="8.85546875" hidden="1" customWidth="1"/>
    <col min="35" max="35" width="4.5703125" hidden="1" customWidth="1"/>
    <col min="36" max="36" width="0.140625" customWidth="1"/>
    <col min="37" max="37" width="9.140625" hidden="1" customWidth="1"/>
    <col min="38" max="38" width="13.42578125" customWidth="1"/>
    <col min="39" max="39" width="9.140625" hidden="1" customWidth="1"/>
  </cols>
  <sheetData>
    <row r="1" spans="1:39">
      <c r="A1" s="128"/>
      <c r="B1" s="129"/>
      <c r="C1" s="129"/>
      <c r="D1" s="129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1"/>
    </row>
    <row r="2" spans="1:39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4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3"/>
      <c r="AG2" s="136"/>
      <c r="AH2" s="136"/>
      <c r="AI2" s="136"/>
      <c r="AJ2" s="136"/>
      <c r="AK2" s="133"/>
      <c r="AL2" s="133"/>
      <c r="AM2" s="137"/>
    </row>
    <row r="3" spans="1:39" ht="23.25">
      <c r="A3" s="132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8"/>
      <c r="M3" s="135"/>
      <c r="N3" s="135"/>
      <c r="O3" s="139" t="s">
        <v>105</v>
      </c>
      <c r="P3" s="56"/>
      <c r="Q3" s="56"/>
      <c r="R3" s="56"/>
      <c r="S3" s="56"/>
      <c r="T3" s="56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8"/>
      <c r="AG3" s="138"/>
      <c r="AH3" s="138"/>
      <c r="AI3" s="138"/>
      <c r="AJ3" s="138"/>
      <c r="AK3" s="138"/>
      <c r="AL3" s="138"/>
      <c r="AM3" s="140"/>
    </row>
    <row r="4" spans="1:39">
      <c r="A4" s="132"/>
      <c r="B4" s="133"/>
      <c r="C4" s="133"/>
      <c r="D4" s="133"/>
      <c r="E4" s="133"/>
      <c r="F4" s="133"/>
      <c r="G4" s="133"/>
      <c r="H4" s="138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41"/>
    </row>
    <row r="5" spans="1:39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142"/>
      <c r="Z5" s="142"/>
      <c r="AA5" s="142"/>
      <c r="AB5" s="142"/>
      <c r="AC5" s="142"/>
      <c r="AD5" s="244" t="s">
        <v>106</v>
      </c>
      <c r="AE5" s="244"/>
      <c r="AF5" s="244"/>
      <c r="AG5" s="244"/>
      <c r="AH5" s="244"/>
      <c r="AI5" s="244"/>
      <c r="AJ5" s="244"/>
      <c r="AK5" s="244"/>
      <c r="AL5" s="244"/>
      <c r="AM5" s="244"/>
    </row>
    <row r="6" spans="1:39">
      <c r="A6" s="143"/>
      <c r="B6" s="136"/>
      <c r="C6" s="136"/>
      <c r="D6" s="144"/>
      <c r="E6" s="144"/>
      <c r="F6" s="144"/>
      <c r="G6" s="144"/>
      <c r="H6" s="144"/>
      <c r="I6" s="144"/>
      <c r="J6" s="144"/>
      <c r="K6" s="145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41"/>
    </row>
    <row r="7" spans="1:39">
      <c r="A7" s="146" t="s">
        <v>107</v>
      </c>
      <c r="B7" s="136"/>
      <c r="C7" s="136"/>
      <c r="D7" s="136"/>
      <c r="E7" s="136"/>
      <c r="F7" s="136"/>
      <c r="G7" s="136"/>
      <c r="H7" s="136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6"/>
      <c r="X7" s="136"/>
      <c r="Y7" s="136"/>
      <c r="Z7" s="136"/>
      <c r="AA7" s="136"/>
      <c r="AB7" s="133"/>
      <c r="AC7" s="133"/>
      <c r="AD7" s="147"/>
      <c r="AE7" s="133"/>
      <c r="AF7" s="133"/>
      <c r="AG7" s="133"/>
      <c r="AH7" s="133"/>
      <c r="AI7" s="133"/>
      <c r="AJ7" s="133"/>
      <c r="AK7" s="133"/>
      <c r="AL7" s="133"/>
      <c r="AM7" s="141"/>
    </row>
    <row r="8" spans="1:39">
      <c r="A8" s="245" t="s">
        <v>135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6"/>
      <c r="AE8" s="246"/>
      <c r="AF8" s="246"/>
      <c r="AG8" s="246"/>
      <c r="AH8" s="246"/>
      <c r="AI8" s="246"/>
      <c r="AJ8" s="246"/>
      <c r="AK8" s="246"/>
      <c r="AL8" s="246"/>
      <c r="AM8" s="246"/>
    </row>
    <row r="9" spans="1:39">
      <c r="A9" s="146"/>
      <c r="B9" s="136"/>
      <c r="C9" s="136"/>
      <c r="D9" s="136"/>
      <c r="E9" s="136"/>
      <c r="F9" s="136"/>
      <c r="G9" s="136"/>
      <c r="H9" s="136"/>
      <c r="I9" s="136"/>
      <c r="J9" s="136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41"/>
    </row>
    <row r="10" spans="1:39">
      <c r="A10" s="148" t="s">
        <v>108</v>
      </c>
      <c r="B10" s="149"/>
      <c r="C10" s="149"/>
      <c r="D10" s="149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47" t="s">
        <v>109</v>
      </c>
      <c r="X10" s="133"/>
      <c r="Y10" s="136"/>
      <c r="Z10" s="136"/>
      <c r="AA10" s="136"/>
      <c r="AB10" s="136"/>
      <c r="AC10" s="136"/>
      <c r="AD10" s="133"/>
      <c r="AE10" s="136"/>
      <c r="AF10" s="145"/>
      <c r="AG10" s="133"/>
      <c r="AH10" s="133"/>
      <c r="AI10" s="133"/>
      <c r="AJ10" s="133"/>
      <c r="AK10" s="133"/>
      <c r="AL10" s="151" t="s">
        <v>110</v>
      </c>
      <c r="AM10" s="141"/>
    </row>
    <row r="11" spans="1:39">
      <c r="A11" s="247" t="str">
        <f>"ORÇAMENTO PAVIMENTAÇÃO ASFÁLTICA LOT. SÍLVIO FRUCTUOSO DE MELLO COELHO"</f>
        <v>ORÇAMENTO PAVIMENTAÇÃO ASFÁLTICA LOT. SÍLVIO FRUCTUOSO DE MELLO COELHO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8" t="s">
        <v>136</v>
      </c>
      <c r="X11" s="248"/>
      <c r="Y11" s="248"/>
      <c r="Z11" s="248"/>
      <c r="AA11" s="248"/>
      <c r="AB11" s="248"/>
      <c r="AC11" s="248"/>
      <c r="AD11" s="248"/>
      <c r="AE11" s="248"/>
      <c r="AF11" s="248"/>
      <c r="AG11" s="248"/>
      <c r="AH11" s="248"/>
      <c r="AI11" s="248"/>
      <c r="AJ11" s="248"/>
      <c r="AK11" s="248"/>
      <c r="AL11" s="249" t="s">
        <v>137</v>
      </c>
      <c r="AM11" s="250"/>
    </row>
    <row r="12" spans="1:39">
      <c r="A12" s="146"/>
      <c r="B12" s="136"/>
      <c r="C12" s="136"/>
      <c r="D12" s="136"/>
      <c r="E12" s="136"/>
      <c r="F12" s="136"/>
      <c r="G12" s="136"/>
      <c r="H12" s="136"/>
      <c r="I12" s="136"/>
      <c r="J12" s="136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41"/>
    </row>
    <row r="13" spans="1:39" ht="34.5" customHeight="1">
      <c r="A13" s="132" t="s">
        <v>111</v>
      </c>
      <c r="B13" s="133"/>
      <c r="C13" s="133"/>
      <c r="D13" s="133"/>
      <c r="E13" s="136"/>
      <c r="F13" s="136"/>
      <c r="G13" s="136"/>
      <c r="H13" s="136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47" t="s">
        <v>112</v>
      </c>
      <c r="X13" s="133"/>
      <c r="Y13" s="133"/>
      <c r="Z13" s="136"/>
      <c r="AA13" s="133"/>
      <c r="AB13" s="133"/>
      <c r="AC13" s="133"/>
      <c r="AD13" s="133"/>
      <c r="AE13" s="133"/>
      <c r="AF13" s="147" t="s">
        <v>113</v>
      </c>
      <c r="AG13" s="133"/>
      <c r="AH13" s="133"/>
      <c r="AI13" s="136"/>
      <c r="AJ13" s="133"/>
      <c r="AK13" s="133"/>
      <c r="AL13" s="133"/>
      <c r="AM13" s="141"/>
    </row>
    <row r="14" spans="1:39">
      <c r="A14" s="251"/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2"/>
      <c r="X14" s="252"/>
      <c r="Y14" s="252"/>
      <c r="Z14" s="252"/>
      <c r="AA14" s="252"/>
      <c r="AB14" s="252"/>
      <c r="AC14" s="252"/>
      <c r="AD14" s="252"/>
      <c r="AE14" s="252"/>
      <c r="AF14" s="253">
        <v>42036</v>
      </c>
      <c r="AG14" s="253"/>
      <c r="AH14" s="253"/>
      <c r="AI14" s="253"/>
      <c r="AJ14" s="253"/>
      <c r="AK14" s="253"/>
      <c r="AL14" s="253"/>
      <c r="AM14" s="253"/>
    </row>
    <row r="15" spans="1:39">
      <c r="A15" s="146"/>
      <c r="B15" s="136"/>
      <c r="C15" s="136"/>
      <c r="D15" s="136"/>
      <c r="E15" s="136"/>
      <c r="F15" s="136"/>
      <c r="G15" s="136"/>
      <c r="H15" s="136"/>
      <c r="I15" s="136"/>
      <c r="J15" s="136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41"/>
    </row>
    <row r="16" spans="1:39">
      <c r="A16" s="146" t="s">
        <v>114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41"/>
    </row>
    <row r="17" spans="1:39">
      <c r="A17" s="146"/>
      <c r="B17" s="136"/>
      <c r="C17" s="136"/>
      <c r="D17" s="136"/>
      <c r="E17" s="136"/>
      <c r="F17" s="136"/>
      <c r="G17" s="136"/>
      <c r="H17" s="136"/>
      <c r="I17" s="136"/>
      <c r="J17" s="136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41"/>
    </row>
    <row r="18" spans="1:39">
      <c r="A18" s="152" t="s">
        <v>115</v>
      </c>
      <c r="B18" s="153"/>
      <c r="C18" s="153"/>
      <c r="D18" s="153"/>
      <c r="E18" s="153"/>
      <c r="F18" s="153"/>
      <c r="G18" s="153"/>
      <c r="H18" s="153"/>
      <c r="I18" s="153"/>
      <c r="J18" s="254" t="s">
        <v>116</v>
      </c>
      <c r="K18" s="254"/>
      <c r="L18" s="254"/>
      <c r="M18" s="254"/>
      <c r="N18" s="254"/>
      <c r="O18" s="254"/>
      <c r="P18" s="255" t="s">
        <v>117</v>
      </c>
      <c r="Q18" s="255"/>
      <c r="R18" s="255"/>
      <c r="S18" s="255"/>
      <c r="T18" s="255"/>
      <c r="U18" s="255"/>
      <c r="V18" s="255"/>
      <c r="W18" s="255"/>
      <c r="X18" s="240" t="s">
        <v>118</v>
      </c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41">
        <f>IF(AN16=TRUE,0,((((1+V23)*(1+V22)*(1+V21+V20)*(1+V24))/(1-V25))-1))</f>
        <v>0.21066348700926718</v>
      </c>
      <c r="AJ18" s="241"/>
      <c r="AK18" s="241"/>
      <c r="AL18" s="241"/>
      <c r="AM18" s="242"/>
    </row>
    <row r="19" spans="1:39">
      <c r="A19" s="154"/>
      <c r="B19" s="155"/>
      <c r="C19" s="155"/>
      <c r="D19" s="155"/>
      <c r="E19" s="155"/>
      <c r="F19" s="155"/>
      <c r="G19" s="155"/>
      <c r="H19" s="155"/>
      <c r="I19" s="155"/>
      <c r="J19" s="254"/>
      <c r="K19" s="254"/>
      <c r="L19" s="254"/>
      <c r="M19" s="254"/>
      <c r="N19" s="254"/>
      <c r="O19" s="254"/>
      <c r="P19" s="255"/>
      <c r="Q19" s="255"/>
      <c r="R19" s="255"/>
      <c r="S19" s="255"/>
      <c r="T19" s="255"/>
      <c r="U19" s="255"/>
      <c r="V19" s="255"/>
      <c r="W19" s="255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1"/>
      <c r="AJ19" s="241"/>
      <c r="AK19" s="241"/>
      <c r="AL19" s="241"/>
      <c r="AM19" s="242"/>
    </row>
    <row r="20" spans="1:39" ht="15.75" thickBot="1">
      <c r="A20" s="156" t="s">
        <v>119</v>
      </c>
      <c r="B20" s="157"/>
      <c r="C20" s="157"/>
      <c r="D20" s="157"/>
      <c r="E20" s="157"/>
      <c r="F20" s="157"/>
      <c r="G20" s="157"/>
      <c r="H20" s="157"/>
      <c r="I20" s="157"/>
      <c r="J20" s="158" t="s">
        <v>120</v>
      </c>
      <c r="K20" s="231">
        <v>8.0000000000000002E-3</v>
      </c>
      <c r="L20" s="231"/>
      <c r="M20" s="159" t="s">
        <v>121</v>
      </c>
      <c r="N20" s="232">
        <v>0.01</v>
      </c>
      <c r="O20" s="232"/>
      <c r="P20" s="160" t="s">
        <v>122</v>
      </c>
      <c r="Q20" s="161"/>
      <c r="R20" s="162"/>
      <c r="S20" s="162"/>
      <c r="T20" s="162"/>
      <c r="U20" s="162"/>
      <c r="V20" s="233">
        <v>9.4999999999999998E-3</v>
      </c>
      <c r="W20" s="233"/>
      <c r="X20" s="234" t="s">
        <v>123</v>
      </c>
      <c r="Y20" s="235"/>
      <c r="Z20" s="235"/>
      <c r="AA20" s="235"/>
      <c r="AB20" s="235"/>
      <c r="AC20" s="235"/>
      <c r="AD20" s="235"/>
      <c r="AE20" s="235"/>
      <c r="AF20" s="235"/>
      <c r="AG20" s="235"/>
      <c r="AH20" s="235"/>
      <c r="AI20" s="235"/>
      <c r="AJ20" s="235"/>
      <c r="AK20" s="235"/>
      <c r="AL20" s="235"/>
      <c r="AM20" s="236"/>
    </row>
    <row r="21" spans="1:39" ht="15.75" thickBot="1">
      <c r="A21" s="163" t="s">
        <v>124</v>
      </c>
      <c r="B21" s="164"/>
      <c r="C21" s="164"/>
      <c r="D21" s="164"/>
      <c r="E21" s="164"/>
      <c r="F21" s="164"/>
      <c r="G21" s="164"/>
      <c r="H21" s="164"/>
      <c r="I21" s="164"/>
      <c r="J21" s="165" t="s">
        <v>120</v>
      </c>
      <c r="K21" s="228">
        <v>9.7000000000000003E-3</v>
      </c>
      <c r="L21" s="228"/>
      <c r="M21" s="166" t="s">
        <v>121</v>
      </c>
      <c r="N21" s="229">
        <v>1.2699999999999999E-2</v>
      </c>
      <c r="O21" s="229"/>
      <c r="P21" s="167" t="s">
        <v>125</v>
      </c>
      <c r="Q21" s="168"/>
      <c r="R21" s="169"/>
      <c r="S21" s="169"/>
      <c r="T21" s="169"/>
      <c r="U21" s="169"/>
      <c r="V21" s="230">
        <v>1.2E-2</v>
      </c>
      <c r="W21" s="230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</row>
    <row r="22" spans="1:39" ht="15.75" thickBot="1">
      <c r="A22" s="163" t="s">
        <v>126</v>
      </c>
      <c r="B22" s="164"/>
      <c r="C22" s="164"/>
      <c r="D22" s="164"/>
      <c r="E22" s="164"/>
      <c r="F22" s="164"/>
      <c r="G22" s="164"/>
      <c r="H22" s="164"/>
      <c r="I22" s="164"/>
      <c r="J22" s="165" t="s">
        <v>120</v>
      </c>
      <c r="K22" s="228">
        <v>5.8999999999999999E-3</v>
      </c>
      <c r="L22" s="228"/>
      <c r="M22" s="166" t="s">
        <v>121</v>
      </c>
      <c r="N22" s="229">
        <v>1.3899999999999999E-2</v>
      </c>
      <c r="O22" s="229"/>
      <c r="P22" s="167" t="s">
        <v>127</v>
      </c>
      <c r="Q22" s="168"/>
      <c r="R22" s="169"/>
      <c r="S22" s="169"/>
      <c r="T22" s="169"/>
      <c r="U22" s="169"/>
      <c r="V22" s="230">
        <v>7.6E-3</v>
      </c>
      <c r="W22" s="230"/>
      <c r="X22" s="235"/>
      <c r="Y22" s="235"/>
      <c r="Z22" s="235"/>
      <c r="AA22" s="235"/>
      <c r="AB22" s="235"/>
      <c r="AC22" s="235"/>
      <c r="AD22" s="235"/>
      <c r="AE22" s="235"/>
      <c r="AF22" s="235"/>
      <c r="AG22" s="235"/>
      <c r="AH22" s="235"/>
      <c r="AI22" s="235"/>
      <c r="AJ22" s="235"/>
      <c r="AK22" s="235"/>
      <c r="AL22" s="235"/>
      <c r="AM22" s="235"/>
    </row>
    <row r="23" spans="1:39" ht="15.75" thickBot="1">
      <c r="A23" s="163" t="s">
        <v>128</v>
      </c>
      <c r="B23" s="164"/>
      <c r="C23" s="164"/>
      <c r="D23" s="164"/>
      <c r="E23" s="164"/>
      <c r="F23" s="164"/>
      <c r="G23" s="164"/>
      <c r="H23" s="164"/>
      <c r="I23" s="164"/>
      <c r="J23" s="165" t="s">
        <v>120</v>
      </c>
      <c r="K23" s="228">
        <v>0.03</v>
      </c>
      <c r="L23" s="228"/>
      <c r="M23" s="166" t="s">
        <v>121</v>
      </c>
      <c r="N23" s="229">
        <v>5.5E-2</v>
      </c>
      <c r="O23" s="229"/>
      <c r="P23" s="167" t="s">
        <v>129</v>
      </c>
      <c r="Q23" s="168"/>
      <c r="R23" s="169"/>
      <c r="S23" s="169"/>
      <c r="T23" s="169"/>
      <c r="U23" s="169"/>
      <c r="V23" s="230">
        <v>0.04</v>
      </c>
      <c r="W23" s="230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</row>
    <row r="24" spans="1:39" ht="15.75" thickBot="1">
      <c r="A24" s="163" t="s">
        <v>130</v>
      </c>
      <c r="B24" s="164"/>
      <c r="C24" s="164"/>
      <c r="D24" s="164"/>
      <c r="E24" s="164"/>
      <c r="F24" s="164"/>
      <c r="G24" s="164"/>
      <c r="H24" s="164"/>
      <c r="I24" s="164"/>
      <c r="J24" s="165" t="s">
        <v>120</v>
      </c>
      <c r="K24" s="228">
        <v>6.1600000000000002E-2</v>
      </c>
      <c r="L24" s="228"/>
      <c r="M24" s="166" t="s">
        <v>121</v>
      </c>
      <c r="N24" s="229">
        <v>8.9599999999999999E-2</v>
      </c>
      <c r="O24" s="229"/>
      <c r="P24" s="167" t="s">
        <v>131</v>
      </c>
      <c r="Q24" s="168"/>
      <c r="R24" s="169"/>
      <c r="S24" s="169"/>
      <c r="T24" s="169"/>
      <c r="U24" s="169"/>
      <c r="V24" s="230">
        <v>7.3999999999999996E-2</v>
      </c>
      <c r="W24" s="230"/>
      <c r="X24" s="235"/>
      <c r="Y24" s="235"/>
      <c r="Z24" s="235"/>
      <c r="AA24" s="235"/>
      <c r="AB24" s="235"/>
      <c r="AC24" s="235"/>
      <c r="AD24" s="235"/>
      <c r="AE24" s="235"/>
      <c r="AF24" s="235"/>
      <c r="AG24" s="235"/>
      <c r="AH24" s="235"/>
      <c r="AI24" s="235"/>
      <c r="AJ24" s="235"/>
      <c r="AK24" s="235"/>
      <c r="AL24" s="235"/>
      <c r="AM24" s="235"/>
    </row>
    <row r="25" spans="1:39" ht="15.75" thickBot="1">
      <c r="A25" s="170" t="s">
        <v>132</v>
      </c>
      <c r="B25" s="171"/>
      <c r="C25" s="171"/>
      <c r="D25" s="171"/>
      <c r="E25" s="171"/>
      <c r="F25" s="171"/>
      <c r="G25" s="171"/>
      <c r="H25" s="171"/>
      <c r="I25" s="171"/>
      <c r="J25" s="172" t="s">
        <v>120</v>
      </c>
      <c r="K25" s="237">
        <v>4.65E-2</v>
      </c>
      <c r="L25" s="237"/>
      <c r="M25" s="173" t="s">
        <v>121</v>
      </c>
      <c r="N25" s="238">
        <v>5.6500000000000002E-2</v>
      </c>
      <c r="O25" s="238"/>
      <c r="P25" s="174" t="s">
        <v>133</v>
      </c>
      <c r="Q25" s="175"/>
      <c r="R25" s="176"/>
      <c r="S25" s="176"/>
      <c r="T25" s="176"/>
      <c r="U25" s="176"/>
      <c r="V25" s="239">
        <v>5.04E-2</v>
      </c>
      <c r="W25" s="239"/>
      <c r="X25" s="235"/>
      <c r="Y25" s="235"/>
      <c r="Z25" s="235"/>
      <c r="AA25" s="235"/>
      <c r="AB25" s="235"/>
      <c r="AC25" s="235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</row>
    <row r="26" spans="1:39">
      <c r="A26" s="146"/>
      <c r="B26" s="136"/>
      <c r="C26" s="136"/>
      <c r="D26" s="136"/>
      <c r="E26" s="136"/>
      <c r="F26" s="136"/>
      <c r="G26" s="136"/>
      <c r="H26" s="136"/>
      <c r="I26" s="136"/>
      <c r="J26" s="177"/>
      <c r="K26" s="178"/>
      <c r="L26" s="178"/>
      <c r="M26" s="145"/>
      <c r="N26" s="178"/>
      <c r="O26" s="178"/>
      <c r="P26" s="138"/>
      <c r="Q26" s="138"/>
      <c r="R26" s="133"/>
      <c r="S26" s="133"/>
      <c r="T26" s="133"/>
      <c r="U26" s="133"/>
      <c r="V26" s="179"/>
      <c r="W26" s="179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1"/>
    </row>
    <row r="27" spans="1:39">
      <c r="A27" s="143" t="s">
        <v>134</v>
      </c>
      <c r="B27" s="136"/>
      <c r="C27" s="136"/>
      <c r="D27" s="136"/>
      <c r="E27" s="136"/>
      <c r="F27" s="136"/>
      <c r="G27" s="136"/>
      <c r="H27" s="136"/>
      <c r="I27" s="136"/>
      <c r="J27" s="177"/>
      <c r="K27" s="178"/>
      <c r="L27" s="178"/>
      <c r="M27" s="145"/>
      <c r="N27" s="178"/>
      <c r="O27" s="178"/>
      <c r="P27" s="138"/>
      <c r="Q27" s="138"/>
      <c r="R27" s="133"/>
      <c r="S27" s="133"/>
      <c r="T27" s="133"/>
      <c r="U27" s="133"/>
      <c r="V27" s="179"/>
      <c r="W27" s="179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1"/>
    </row>
    <row r="28" spans="1:39">
      <c r="A28" s="146"/>
      <c r="B28" s="136"/>
      <c r="C28" s="136"/>
      <c r="D28" s="136"/>
      <c r="E28" s="136"/>
      <c r="F28" s="136"/>
      <c r="G28" s="136"/>
      <c r="H28" s="136"/>
      <c r="I28" s="136"/>
      <c r="J28" s="177"/>
      <c r="K28" s="178"/>
      <c r="L28" s="178"/>
      <c r="M28" s="145"/>
      <c r="N28" s="178"/>
      <c r="O28" s="178"/>
      <c r="P28" s="138"/>
      <c r="Q28" s="138"/>
      <c r="R28" s="133"/>
      <c r="S28" s="133"/>
      <c r="T28" s="133"/>
      <c r="U28" s="133"/>
      <c r="V28" s="179"/>
      <c r="W28" s="179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1"/>
    </row>
    <row r="29" spans="1:39">
      <c r="A29" s="182"/>
      <c r="B29" s="183"/>
      <c r="C29" s="183"/>
      <c r="D29" s="136"/>
      <c r="E29" s="136"/>
      <c r="F29" s="183"/>
      <c r="G29" s="183"/>
      <c r="H29" s="183"/>
      <c r="I29" s="183"/>
      <c r="J29" s="183"/>
      <c r="K29" s="184"/>
      <c r="L29" s="184"/>
      <c r="M29" s="184"/>
      <c r="N29" s="184"/>
      <c r="O29" s="184"/>
      <c r="P29" s="184"/>
      <c r="Q29" s="184"/>
      <c r="R29" s="184"/>
      <c r="S29" s="185"/>
      <c r="T29" s="185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AJ29" s="184"/>
      <c r="AK29" s="184"/>
      <c r="AL29" s="184"/>
      <c r="AM29" s="186"/>
    </row>
  </sheetData>
  <mergeCells count="33">
    <mergeCell ref="X18:AH19"/>
    <mergeCell ref="AI18:AM19"/>
    <mergeCell ref="A5:X5"/>
    <mergeCell ref="AD5:AM5"/>
    <mergeCell ref="A8:AC8"/>
    <mergeCell ref="AD8:AM8"/>
    <mergeCell ref="A11:V11"/>
    <mergeCell ref="W11:AK11"/>
    <mergeCell ref="AL11:AM11"/>
    <mergeCell ref="A14:V14"/>
    <mergeCell ref="W14:AE14"/>
    <mergeCell ref="AF14:AM14"/>
    <mergeCell ref="J18:O19"/>
    <mergeCell ref="P18:W19"/>
    <mergeCell ref="X20:AM25"/>
    <mergeCell ref="K21:L21"/>
    <mergeCell ref="N21:O21"/>
    <mergeCell ref="V21:W21"/>
    <mergeCell ref="K22:L22"/>
    <mergeCell ref="N22:O22"/>
    <mergeCell ref="V22:W22"/>
    <mergeCell ref="K25:L25"/>
    <mergeCell ref="N25:O25"/>
    <mergeCell ref="V25:W25"/>
    <mergeCell ref="K23:L23"/>
    <mergeCell ref="N23:O23"/>
    <mergeCell ref="V23:W23"/>
    <mergeCell ref="K24:L24"/>
    <mergeCell ref="N24:O24"/>
    <mergeCell ref="V24:W24"/>
    <mergeCell ref="K20:L20"/>
    <mergeCell ref="N20:O20"/>
    <mergeCell ref="V20:W20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OCTO</vt:lpstr>
      <vt:lpstr>CRONOGRAMA</vt:lpstr>
      <vt:lpstr>ASFALTOCBUQ</vt:lpstr>
      <vt:lpstr>BDI</vt:lpstr>
      <vt:lpstr>ASFALTOCBUQ!Area_de_impressao</vt:lpstr>
      <vt:lpstr>OCTO!Area_de_impressao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EXACTUS</dc:creator>
  <cp:lastModifiedBy>User</cp:lastModifiedBy>
  <cp:lastPrinted>2022-03-09T13:48:16Z</cp:lastPrinted>
  <dcterms:created xsi:type="dcterms:W3CDTF">2020-08-13T12:44:14Z</dcterms:created>
  <dcterms:modified xsi:type="dcterms:W3CDTF">2022-03-09T19:17:32Z</dcterms:modified>
</cp:coreProperties>
</file>